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7000"/>
  </bookViews>
  <sheets>
    <sheet name="2026-01-14~2026-01-20" sheetId="1" r:id="rId1"/>
    <sheet name="备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94" name="ID_B5CD26D5F8664AC3B51D8049A2089390" descr="B0DQVKFXSF_imag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0" y="112445800"/>
          <a:ext cx="333375" cy="488950"/>
        </a:xfrm>
        <a:prstGeom prst="rect">
          <a:avLst/>
        </a:prstGeom>
      </xdr:spPr>
    </xdr:pic>
  </etc:cellImage>
  <etc:cellImage>
    <xdr:pic>
      <xdr:nvPicPr>
        <xdr:cNvPr id="187" name="ID_4DF4ED990203495C9079C8F9C45D4FDE" descr="B0FBRVWVZX_imag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0" y="108356400"/>
          <a:ext cx="495300" cy="488950"/>
        </a:xfrm>
        <a:prstGeom prst="rect">
          <a:avLst/>
        </a:prstGeom>
      </xdr:spPr>
    </xdr:pic>
  </etc:cellImage>
  <etc:cellImage>
    <xdr:pic>
      <xdr:nvPicPr>
        <xdr:cNvPr id="191" name="ID_A0E3E0FC869D49DDA5F683FD5C1AF911" descr="B0F6LRS9W4_imag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250" y="110693200"/>
          <a:ext cx="457200" cy="488950"/>
        </a:xfrm>
        <a:prstGeom prst="rect">
          <a:avLst/>
        </a:prstGeom>
      </xdr:spPr>
    </xdr:pic>
  </etc:cellImage>
  <etc:cellImage>
    <xdr:pic>
      <xdr:nvPicPr>
        <xdr:cNvPr id="172" name="ID_FC82F07725104B9BAE470322324416A2" descr="B0FBFYL5KB_imag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5250" y="99593400"/>
          <a:ext cx="476250" cy="488950"/>
        </a:xfrm>
        <a:prstGeom prst="rect">
          <a:avLst/>
        </a:prstGeom>
      </xdr:spPr>
    </xdr:pic>
  </etc:cellImage>
  <etc:cellImage>
    <xdr:pic>
      <xdr:nvPicPr>
        <xdr:cNvPr id="190" name="ID_E7A2DBFEF6A44F03AA2C9359D7917CCA" descr="B0CC64LPHF_imag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5250" y="110109000"/>
          <a:ext cx="495300" cy="488950"/>
        </a:xfrm>
        <a:prstGeom prst="rect">
          <a:avLst/>
        </a:prstGeom>
      </xdr:spPr>
    </xdr:pic>
  </etc:cellImage>
  <etc:cellImage>
    <xdr:pic>
      <xdr:nvPicPr>
        <xdr:cNvPr id="171" name="ID_CD3D3264E3EC4552B7CF821608536D04" descr="B0DHZ2KQB9_image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5250" y="99009200"/>
          <a:ext cx="485775" cy="488950"/>
        </a:xfrm>
        <a:prstGeom prst="rect">
          <a:avLst/>
        </a:prstGeom>
      </xdr:spPr>
    </xdr:pic>
  </etc:cellImage>
  <etc:cellImage>
    <xdr:pic>
      <xdr:nvPicPr>
        <xdr:cNvPr id="170" name="ID_DA19CB2BD5864F6480A3485BAE45DA1A" descr="B0FDX22M3Y_image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5250" y="98425000"/>
          <a:ext cx="485775" cy="488950"/>
        </a:xfrm>
        <a:prstGeom prst="rect">
          <a:avLst/>
        </a:prstGeom>
      </xdr:spPr>
    </xdr:pic>
  </etc:cellImage>
  <etc:cellImage>
    <xdr:pic>
      <xdr:nvPicPr>
        <xdr:cNvPr id="165" name="ID_9737E3EA03054289B29367138008BF21" descr="B0G1C4HGNY_image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5250" y="95504000"/>
          <a:ext cx="485775" cy="488950"/>
        </a:xfrm>
        <a:prstGeom prst="rect">
          <a:avLst/>
        </a:prstGeom>
      </xdr:spPr>
    </xdr:pic>
  </etc:cellImage>
  <etc:cellImage>
    <xdr:pic>
      <xdr:nvPicPr>
        <xdr:cNvPr id="161" name="ID_2445AAE674BA4F3EB581DAA92591002F" descr="B0GGJJZYF9_image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5250" y="93167200"/>
          <a:ext cx="381000" cy="488950"/>
        </a:xfrm>
        <a:prstGeom prst="rect">
          <a:avLst/>
        </a:prstGeom>
      </xdr:spPr>
    </xdr:pic>
  </etc:cellImage>
  <etc:cellImage>
    <xdr:pic>
      <xdr:nvPicPr>
        <xdr:cNvPr id="160" name="ID_3997B093D3B94B5980484B55FA7E10C8" descr="B0D9W7VHHG_image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5250" y="92583000"/>
          <a:ext cx="523875" cy="488950"/>
        </a:xfrm>
        <a:prstGeom prst="rect">
          <a:avLst/>
        </a:prstGeom>
      </xdr:spPr>
    </xdr:pic>
  </etc:cellImage>
  <etc:cellImage>
    <xdr:pic>
      <xdr:nvPicPr>
        <xdr:cNvPr id="180" name="ID_5D453B0089C049A29B5BABC02F7C6F17" descr="B0FWLQ125P_image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5250" y="104267000"/>
          <a:ext cx="476250" cy="488950"/>
        </a:xfrm>
        <a:prstGeom prst="rect">
          <a:avLst/>
        </a:prstGeom>
      </xdr:spPr>
    </xdr:pic>
  </etc:cellImage>
  <etc:cellImage>
    <xdr:pic>
      <xdr:nvPicPr>
        <xdr:cNvPr id="179" name="ID_D673F93622D340FCA721F971956B9E03" descr="B0FVV6MCJP_image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5250" y="103682800"/>
          <a:ext cx="495300" cy="488950"/>
        </a:xfrm>
        <a:prstGeom prst="rect">
          <a:avLst/>
        </a:prstGeom>
      </xdr:spPr>
    </xdr:pic>
  </etc:cellImage>
  <etc:cellImage>
    <xdr:pic>
      <xdr:nvPicPr>
        <xdr:cNvPr id="150" name="ID_91F4233A693741FDB07A60F3C932A4AF" descr="B0DJSB1BP2_image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95250" y="86741000"/>
          <a:ext cx="457200" cy="488950"/>
        </a:xfrm>
        <a:prstGeom prst="rect">
          <a:avLst/>
        </a:prstGeom>
      </xdr:spPr>
    </xdr:pic>
  </etc:cellImage>
  <etc:cellImage>
    <xdr:pic>
      <xdr:nvPicPr>
        <xdr:cNvPr id="144" name="ID_9D68E3606FF944E8A90A6C9ED2B1B2C2" descr="B0CR17G9HZ_image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95250" y="83235800"/>
          <a:ext cx="561975" cy="488950"/>
        </a:xfrm>
        <a:prstGeom prst="rect">
          <a:avLst/>
        </a:prstGeom>
      </xdr:spPr>
    </xdr:pic>
  </etc:cellImage>
  <etc:cellImage>
    <xdr:pic>
      <xdr:nvPicPr>
        <xdr:cNvPr id="178" name="ID_5384EC9055284CE283091D4C8E882D57" descr="B0CSYZ367S_image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95250" y="103098600"/>
          <a:ext cx="495300" cy="488950"/>
        </a:xfrm>
        <a:prstGeom prst="rect">
          <a:avLst/>
        </a:prstGeom>
      </xdr:spPr>
    </xdr:pic>
  </etc:cellImage>
  <etc:cellImage>
    <xdr:pic>
      <xdr:nvPicPr>
        <xdr:cNvPr id="169" name="ID_9CBC35CA0DD0477B9E981D5EE1D9740B" descr="B0FMDF4ZPH_image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95250" y="97840800"/>
          <a:ext cx="466725" cy="488950"/>
        </a:xfrm>
        <a:prstGeom prst="rect">
          <a:avLst/>
        </a:prstGeom>
      </xdr:spPr>
    </xdr:pic>
  </etc:cellImage>
  <etc:cellImage>
    <xdr:pic>
      <xdr:nvPicPr>
        <xdr:cNvPr id="139" name="ID_FAD3F3C41CF24D7A8A617A026C4A4644" descr="B0D7D2WCMM_image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95250" y="80314800"/>
          <a:ext cx="504825" cy="488950"/>
        </a:xfrm>
        <a:prstGeom prst="rect">
          <a:avLst/>
        </a:prstGeom>
      </xdr:spPr>
    </xdr:pic>
  </etc:cellImage>
  <etc:cellImage>
    <xdr:pic>
      <xdr:nvPicPr>
        <xdr:cNvPr id="136" name="ID_B4FDADC707C647A1A3AE39E0F5A3A8A7" descr="B0FGPKMTSL_image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95250" y="78562200"/>
          <a:ext cx="523875" cy="488950"/>
        </a:xfrm>
        <a:prstGeom prst="rect">
          <a:avLst/>
        </a:prstGeom>
      </xdr:spPr>
    </xdr:pic>
  </etc:cellImage>
  <etc:cellImage>
    <xdr:pic>
      <xdr:nvPicPr>
        <xdr:cNvPr id="132" name="ID_59DF79074228476D9D84A8448004A06E" descr="B09XFM6N62_image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95250" y="76225400"/>
          <a:ext cx="495300" cy="488950"/>
        </a:xfrm>
        <a:prstGeom prst="rect">
          <a:avLst/>
        </a:prstGeom>
      </xdr:spPr>
    </xdr:pic>
  </etc:cellImage>
  <etc:cellImage>
    <xdr:pic>
      <xdr:nvPicPr>
        <xdr:cNvPr id="128" name="ID_CA6CEF69C03D4E6DB654DC94BC290048" descr="B0FR7PF263_image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95250" y="73888600"/>
          <a:ext cx="476250" cy="488950"/>
        </a:xfrm>
        <a:prstGeom prst="rect">
          <a:avLst/>
        </a:prstGeom>
      </xdr:spPr>
    </xdr:pic>
  </etc:cellImage>
  <etc:cellImage>
    <xdr:pic>
      <xdr:nvPicPr>
        <xdr:cNvPr id="154" name="ID_8F8295EBD02F45ED9F4621740BCB8D12" descr="B0FHXX51KW_image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95250" y="89077800"/>
          <a:ext cx="390525" cy="488950"/>
        </a:xfrm>
        <a:prstGeom prst="rect">
          <a:avLst/>
        </a:prstGeom>
      </xdr:spPr>
    </xdr:pic>
  </etc:cellImage>
  <etc:cellImage>
    <xdr:pic>
      <xdr:nvPicPr>
        <xdr:cNvPr id="112" name="ID_0FC0EB7A76E24CCAACEE8B1B7213FA41" descr="B0FH4V4GM9_image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95250" y="64541400"/>
          <a:ext cx="514350" cy="488950"/>
        </a:xfrm>
        <a:prstGeom prst="rect">
          <a:avLst/>
        </a:prstGeom>
      </xdr:spPr>
    </xdr:pic>
  </etc:cellImage>
  <etc:cellImage>
    <xdr:pic>
      <xdr:nvPicPr>
        <xdr:cNvPr id="109" name="ID_4D35D12AFC724C10BB5F08E2B22305F0" descr="B0DJVBKYBF_image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95250" y="62788800"/>
          <a:ext cx="504825" cy="488950"/>
        </a:xfrm>
        <a:prstGeom prst="rect">
          <a:avLst/>
        </a:prstGeom>
      </xdr:spPr>
    </xdr:pic>
  </etc:cellImage>
  <etc:cellImage>
    <xdr:pic>
      <xdr:nvPicPr>
        <xdr:cNvPr id="107" name="ID_495DDF411BCF4C4788A3F9A4019FCDB2" descr="B0CC67WZZG_image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95250" y="61620400"/>
          <a:ext cx="476250" cy="488950"/>
        </a:xfrm>
        <a:prstGeom prst="rect">
          <a:avLst/>
        </a:prstGeom>
      </xdr:spPr>
    </xdr:pic>
  </etc:cellImage>
  <etc:cellImage>
    <xdr:pic>
      <xdr:nvPicPr>
        <xdr:cNvPr id="126" name="ID_968E1CB80E914C8FA6733F6D9B15E831" descr="B0FVW12TYX_image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95250" y="72720200"/>
          <a:ext cx="485775" cy="488950"/>
        </a:xfrm>
        <a:prstGeom prst="rect">
          <a:avLst/>
        </a:prstGeom>
      </xdr:spPr>
    </xdr:pic>
  </etc:cellImage>
  <etc:cellImage>
    <xdr:pic>
      <xdr:nvPicPr>
        <xdr:cNvPr id="106" name="ID_6ED73D72B54F41A794D10E04A720E966" descr="B0DQD4NQX6_image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95250" y="61036200"/>
          <a:ext cx="476250" cy="488950"/>
        </a:xfrm>
        <a:prstGeom prst="rect">
          <a:avLst/>
        </a:prstGeom>
      </xdr:spPr>
    </xdr:pic>
  </etc:cellImage>
  <etc:cellImage>
    <xdr:pic>
      <xdr:nvPicPr>
        <xdr:cNvPr id="103" name="ID_C7ED11A6EE38442EABB999FD5D0FF69E" descr="B0F1C2GVK7_image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95250" y="59283600"/>
          <a:ext cx="533400" cy="488950"/>
        </a:xfrm>
        <a:prstGeom prst="rect">
          <a:avLst/>
        </a:prstGeom>
      </xdr:spPr>
    </xdr:pic>
  </etc:cellImage>
  <etc:cellImage>
    <xdr:pic>
      <xdr:nvPicPr>
        <xdr:cNvPr id="101" name="ID_D76170F2F20340A2BF6C6B09E4472FBF" descr="B0FXFXBF1M_image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95250" y="58115200"/>
          <a:ext cx="400050" cy="488950"/>
        </a:xfrm>
        <a:prstGeom prst="rect">
          <a:avLst/>
        </a:prstGeom>
      </xdr:spPr>
    </xdr:pic>
  </etc:cellImage>
  <etc:cellImage>
    <xdr:pic>
      <xdr:nvPicPr>
        <xdr:cNvPr id="198" name="ID_DF9208BAA57A40F8B41792C872B05A63" descr="B0F21V2Q7Z_image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95250" y="114782600"/>
          <a:ext cx="485775" cy="488950"/>
        </a:xfrm>
        <a:prstGeom prst="rect">
          <a:avLst/>
        </a:prstGeom>
      </xdr:spPr>
    </xdr:pic>
  </etc:cellImage>
  <etc:cellImage>
    <xdr:pic>
      <xdr:nvPicPr>
        <xdr:cNvPr id="100" name="ID_B0A0E0CA231940259ADA6B83AF30C654" descr="B0F4CTCRVF_image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95250" y="57531000"/>
          <a:ext cx="447675" cy="488950"/>
        </a:xfrm>
        <a:prstGeom prst="rect">
          <a:avLst/>
        </a:prstGeom>
      </xdr:spPr>
    </xdr:pic>
  </etc:cellImage>
  <etc:cellImage>
    <xdr:pic>
      <xdr:nvPicPr>
        <xdr:cNvPr id="95" name="ID_9A636D157E27460DA1E26FFCED8C723C" descr="B0FMFDPZG9_image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95250" y="54610000"/>
          <a:ext cx="495300" cy="488950"/>
        </a:xfrm>
        <a:prstGeom prst="rect">
          <a:avLst/>
        </a:prstGeom>
      </xdr:spPr>
    </xdr:pic>
  </etc:cellImage>
  <etc:cellImage>
    <xdr:pic>
      <xdr:nvPicPr>
        <xdr:cNvPr id="93" name="ID_9C8251DE92F742F2805B8E7B36240FAB" descr="B0F32PYT67_image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95250" y="53441600"/>
          <a:ext cx="523875" cy="488950"/>
        </a:xfrm>
        <a:prstGeom prst="rect">
          <a:avLst/>
        </a:prstGeom>
      </xdr:spPr>
    </xdr:pic>
  </etc:cellImage>
  <etc:cellImage>
    <xdr:pic>
      <xdr:nvPicPr>
        <xdr:cNvPr id="92" name="ID_4137FC4C57CC410CB574B0A56CD0ADA8" descr="B0C94PGTNZ_image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95250" y="52857400"/>
          <a:ext cx="485775" cy="488950"/>
        </a:xfrm>
        <a:prstGeom prst="rect">
          <a:avLst/>
        </a:prstGeom>
      </xdr:spPr>
    </xdr:pic>
  </etc:cellImage>
  <etc:cellImage>
    <xdr:pic>
      <xdr:nvPicPr>
        <xdr:cNvPr id="91" name="ID_C9261AF25C894F93AF6B444F2062AF72" descr="B0DJL6JV6R_image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95250" y="52273200"/>
          <a:ext cx="552450" cy="488950"/>
        </a:xfrm>
        <a:prstGeom prst="rect">
          <a:avLst/>
        </a:prstGeom>
      </xdr:spPr>
    </xdr:pic>
  </etc:cellImage>
  <etc:cellImage>
    <xdr:pic>
      <xdr:nvPicPr>
        <xdr:cNvPr id="90" name="ID_53E471A1F59C453C89964CECF564D957" descr="B0FVWWZJ5N_image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95250" y="51689000"/>
          <a:ext cx="504825" cy="488950"/>
        </a:xfrm>
        <a:prstGeom prst="rect">
          <a:avLst/>
        </a:prstGeom>
      </xdr:spPr>
    </xdr:pic>
  </etc:cellImage>
  <etc:cellImage>
    <xdr:pic>
      <xdr:nvPicPr>
        <xdr:cNvPr id="168" name="ID_43F85D9ED606401782F37888CAB0B321" descr="B0F943353F_image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95250" y="97256600"/>
          <a:ext cx="571500" cy="488950"/>
        </a:xfrm>
        <a:prstGeom prst="rect">
          <a:avLst/>
        </a:prstGeom>
      </xdr:spPr>
    </xdr:pic>
  </etc:cellImage>
  <etc:cellImage>
    <xdr:pic>
      <xdr:nvPicPr>
        <xdr:cNvPr id="89" name="ID_021D14F464FA47DEA68B202FCCA4A844" descr="B0DSGJCS47_image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95250" y="51104800"/>
          <a:ext cx="485775" cy="488950"/>
        </a:xfrm>
        <a:prstGeom prst="rect">
          <a:avLst/>
        </a:prstGeom>
      </xdr:spPr>
    </xdr:pic>
  </etc:cellImage>
  <etc:cellImage>
    <xdr:pic>
      <xdr:nvPicPr>
        <xdr:cNvPr id="201" name="ID_279E8F9188DD48D7BD841BF3E0350A8F" descr="B0FBBJKMXH_image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95250" y="116535200"/>
          <a:ext cx="542925" cy="488950"/>
        </a:xfrm>
        <a:prstGeom prst="rect">
          <a:avLst/>
        </a:prstGeom>
      </xdr:spPr>
    </xdr:pic>
  </etc:cellImage>
  <etc:cellImage>
    <xdr:pic>
      <xdr:nvPicPr>
        <xdr:cNvPr id="88" name="ID_CABB8413141D4372BEDD339BAF5D97D8" descr="B0D76XVMK5_image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95250" y="50520600"/>
          <a:ext cx="603250" cy="447675"/>
        </a:xfrm>
        <a:prstGeom prst="rect">
          <a:avLst/>
        </a:prstGeom>
      </xdr:spPr>
    </xdr:pic>
  </etc:cellImage>
  <etc:cellImage>
    <xdr:pic>
      <xdr:nvPicPr>
        <xdr:cNvPr id="87" name="ID_4B2C5FDBFE324FB0BC5E9F145CBC9E73" descr="B0FH6VW1J6_image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95250" y="49936400"/>
          <a:ext cx="495300" cy="488950"/>
        </a:xfrm>
        <a:prstGeom prst="rect">
          <a:avLst/>
        </a:prstGeom>
      </xdr:spPr>
    </xdr:pic>
  </etc:cellImage>
  <etc:cellImage>
    <xdr:pic>
      <xdr:nvPicPr>
        <xdr:cNvPr id="86" name="ID_BBE76D8E332C44638DDC291F9B2FF12D" descr="B0DHRW819R_image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95250" y="49352200"/>
          <a:ext cx="323850" cy="488950"/>
        </a:xfrm>
        <a:prstGeom prst="rect">
          <a:avLst/>
        </a:prstGeom>
      </xdr:spPr>
    </xdr:pic>
  </etc:cellImage>
  <etc:cellImage>
    <xdr:pic>
      <xdr:nvPicPr>
        <xdr:cNvPr id="85" name="ID_32B2A524AFF84E0E98827914009CCECC" descr="B0FMGMLCJC_image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95250" y="48768000"/>
          <a:ext cx="495300" cy="488950"/>
        </a:xfrm>
        <a:prstGeom prst="rect">
          <a:avLst/>
        </a:prstGeom>
      </xdr:spPr>
    </xdr:pic>
  </etc:cellImage>
  <etc:cellImage>
    <xdr:pic>
      <xdr:nvPicPr>
        <xdr:cNvPr id="138" name="ID_2118FCFA60C54405A0DF98A9DF1903BD" descr="B0F66YK4JM_image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95250" y="79730600"/>
          <a:ext cx="476250" cy="488950"/>
        </a:xfrm>
        <a:prstGeom prst="rect">
          <a:avLst/>
        </a:prstGeom>
      </xdr:spPr>
    </xdr:pic>
  </etc:cellImage>
  <etc:cellImage>
    <xdr:pic>
      <xdr:nvPicPr>
        <xdr:cNvPr id="80" name="ID_B52099F47A83400C8E944850D7C4F725" descr="B0F63SWKBS_image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95250" y="45847000"/>
          <a:ext cx="485775" cy="488950"/>
        </a:xfrm>
        <a:prstGeom prst="rect">
          <a:avLst/>
        </a:prstGeom>
      </xdr:spPr>
    </xdr:pic>
  </etc:cellImage>
  <etc:cellImage>
    <xdr:pic>
      <xdr:nvPicPr>
        <xdr:cNvPr id="79" name="ID_99838C7615E94D048CCEB6CBB2BC0D04" descr="B0G56K6GK6_image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95250" y="45262800"/>
          <a:ext cx="533400" cy="488950"/>
        </a:xfrm>
        <a:prstGeom prst="rect">
          <a:avLst/>
        </a:prstGeom>
      </xdr:spPr>
    </xdr:pic>
  </etc:cellImage>
  <etc:cellImage>
    <xdr:pic>
      <xdr:nvPicPr>
        <xdr:cNvPr id="78" name="ID_12B43AC6B61345B0A055D98161D72C32" descr="B09FLJDNB8_image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95250" y="44678600"/>
          <a:ext cx="495300" cy="488950"/>
        </a:xfrm>
        <a:prstGeom prst="rect">
          <a:avLst/>
        </a:prstGeom>
      </xdr:spPr>
    </xdr:pic>
  </etc:cellImage>
  <etc:cellImage>
    <xdr:pic>
      <xdr:nvPicPr>
        <xdr:cNvPr id="77" name="ID_BB444098A35A4D45849300BCC36D149D" descr="B0FSSLM7HW_image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95250" y="44094400"/>
          <a:ext cx="495300" cy="488950"/>
        </a:xfrm>
        <a:prstGeom prst="rect">
          <a:avLst/>
        </a:prstGeom>
      </xdr:spPr>
    </xdr:pic>
  </etc:cellImage>
  <etc:cellImage>
    <xdr:pic>
      <xdr:nvPicPr>
        <xdr:cNvPr id="74" name="ID_557571A732FD43E685306C1A9E6DC87C" descr="B0FS1LQJTS_image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95250" y="42341800"/>
          <a:ext cx="495300" cy="488950"/>
        </a:xfrm>
        <a:prstGeom prst="rect">
          <a:avLst/>
        </a:prstGeom>
      </xdr:spPr>
    </xdr:pic>
  </etc:cellImage>
  <etc:cellImage>
    <xdr:pic>
      <xdr:nvPicPr>
        <xdr:cNvPr id="71" name="ID_C121845B265A441F9D703C23B2C25C8F" descr="B0FM82RCM8_image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95250" y="40589200"/>
          <a:ext cx="495300" cy="488950"/>
        </a:xfrm>
        <a:prstGeom prst="rect">
          <a:avLst/>
        </a:prstGeom>
      </xdr:spPr>
    </xdr:pic>
  </etc:cellImage>
  <etc:cellImage>
    <xdr:pic>
      <xdr:nvPicPr>
        <xdr:cNvPr id="68" name="ID_F4783C218DA040D3AC7151B203EF78C0" descr="B0CRR91YW4_image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95250" y="38836600"/>
          <a:ext cx="438150" cy="488950"/>
        </a:xfrm>
        <a:prstGeom prst="rect">
          <a:avLst/>
        </a:prstGeom>
      </xdr:spPr>
    </xdr:pic>
  </etc:cellImage>
  <etc:cellImage>
    <xdr:pic>
      <xdr:nvPicPr>
        <xdr:cNvPr id="66" name="ID_95FAEA2783F645B0ACD50A36228F4ABD" descr="B0BBB76WYQ_image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95250" y="37668200"/>
          <a:ext cx="485775" cy="488950"/>
        </a:xfrm>
        <a:prstGeom prst="rect">
          <a:avLst/>
        </a:prstGeom>
      </xdr:spPr>
    </xdr:pic>
  </etc:cellImage>
  <etc:cellImage>
    <xdr:pic>
      <xdr:nvPicPr>
        <xdr:cNvPr id="56" name="ID_A7E86C74ABC94704B54C9326EB9779BB" descr="B0DJ7KMM1N_image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95250" y="31826200"/>
          <a:ext cx="523875" cy="488950"/>
        </a:xfrm>
        <a:prstGeom prst="rect">
          <a:avLst/>
        </a:prstGeom>
      </xdr:spPr>
    </xdr:pic>
  </etc:cellImage>
  <etc:cellImage>
    <xdr:pic>
      <xdr:nvPicPr>
        <xdr:cNvPr id="52" name="ID_5F011F0A7613447FB525C203BE6F35B5" descr="B0FM4HRBNP_image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95250" y="29489400"/>
          <a:ext cx="495300" cy="488950"/>
        </a:xfrm>
        <a:prstGeom prst="rect">
          <a:avLst/>
        </a:prstGeom>
      </xdr:spPr>
    </xdr:pic>
  </etc:cellImage>
  <etc:cellImage>
    <xdr:pic>
      <xdr:nvPicPr>
        <xdr:cNvPr id="65" name="ID_E51899A900DA41D79A10885D0A9EB377" descr="B0DYG4Q6PL_image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95250" y="37084000"/>
          <a:ext cx="466725" cy="488950"/>
        </a:xfrm>
        <a:prstGeom prst="rect">
          <a:avLst/>
        </a:prstGeom>
      </xdr:spPr>
    </xdr:pic>
  </etc:cellImage>
  <etc:cellImage>
    <xdr:pic>
      <xdr:nvPicPr>
        <xdr:cNvPr id="60" name="ID_08E8A98D52BA4235B435358FBA7C23B2" descr="B0CX84JCFX_image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95250" y="34163000"/>
          <a:ext cx="523875" cy="488950"/>
        </a:xfrm>
        <a:prstGeom prst="rect">
          <a:avLst/>
        </a:prstGeom>
      </xdr:spPr>
    </xdr:pic>
  </etc:cellImage>
  <etc:cellImage>
    <xdr:pic>
      <xdr:nvPicPr>
        <xdr:cNvPr id="48" name="ID_BAE26EF3E0824ED3BC55CAC0AFD8C2AD" descr="B0G2W76F97_image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95250" y="27152600"/>
          <a:ext cx="466725" cy="488950"/>
        </a:xfrm>
        <a:prstGeom prst="rect">
          <a:avLst/>
        </a:prstGeom>
      </xdr:spPr>
    </xdr:pic>
  </etc:cellImage>
  <etc:cellImage>
    <xdr:pic>
      <xdr:nvPicPr>
        <xdr:cNvPr id="47" name="ID_9702A41C65A248908A5C31A8FCDB35AC" descr="B0DZ6SLJQ3_image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95250" y="26568400"/>
          <a:ext cx="514350" cy="488950"/>
        </a:xfrm>
        <a:prstGeom prst="rect">
          <a:avLst/>
        </a:prstGeom>
      </xdr:spPr>
    </xdr:pic>
  </etc:cellImage>
  <etc:cellImage>
    <xdr:pic>
      <xdr:nvPicPr>
        <xdr:cNvPr id="49" name="ID_B6C1F9F8FFC94D97BD204A680E72CD53" descr="B0FWJ82MVG_image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95250" y="27736800"/>
          <a:ext cx="542925" cy="488950"/>
        </a:xfrm>
        <a:prstGeom prst="rect">
          <a:avLst/>
        </a:prstGeom>
      </xdr:spPr>
    </xdr:pic>
  </etc:cellImage>
  <etc:cellImage>
    <xdr:pic>
      <xdr:nvPicPr>
        <xdr:cNvPr id="149" name="ID_071B5477E26841E1BDFD5CFF1882EB98" descr="B0FG2TFSD1_image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95250" y="86156800"/>
          <a:ext cx="457200" cy="488950"/>
        </a:xfrm>
        <a:prstGeom prst="rect">
          <a:avLst/>
        </a:prstGeom>
      </xdr:spPr>
    </xdr:pic>
  </etc:cellImage>
  <etc:cellImage>
    <xdr:pic>
      <xdr:nvPicPr>
        <xdr:cNvPr id="46" name="ID_47D1203C7BC3405B827EEBB20FECCFBC" descr="B01MDK70V9_imag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95250" y="25984200"/>
          <a:ext cx="495300" cy="488950"/>
        </a:xfrm>
        <a:prstGeom prst="rect">
          <a:avLst/>
        </a:prstGeom>
      </xdr:spPr>
    </xdr:pic>
  </etc:cellImage>
  <etc:cellImage>
    <xdr:pic>
      <xdr:nvPicPr>
        <xdr:cNvPr id="62" name="ID_21643E1F95BA4E4099DC0D67C40CD6A7" descr="B0FWLMY464_image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95250" y="35331400"/>
          <a:ext cx="485775" cy="488950"/>
        </a:xfrm>
        <a:prstGeom prst="rect">
          <a:avLst/>
        </a:prstGeom>
      </xdr:spPr>
    </xdr:pic>
  </etc:cellImage>
  <etc:cellImage>
    <xdr:pic>
      <xdr:nvPicPr>
        <xdr:cNvPr id="195" name="ID_DD3C7A14571F476DBA6B899469EC9EC1" descr="B0FSRJV4G5_image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95250" y="113030000"/>
          <a:ext cx="514350" cy="488950"/>
        </a:xfrm>
        <a:prstGeom prst="rect">
          <a:avLst/>
        </a:prstGeom>
      </xdr:spPr>
    </xdr:pic>
  </etc:cellImage>
  <etc:cellImage>
    <xdr:pic>
      <xdr:nvPicPr>
        <xdr:cNvPr id="45" name="ID_6AF4F7C419E64E9A9AE286A356A34F01" descr="B07Z4HDZGW_image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95250" y="25400000"/>
          <a:ext cx="485775" cy="488950"/>
        </a:xfrm>
        <a:prstGeom prst="rect">
          <a:avLst/>
        </a:prstGeom>
      </xdr:spPr>
    </xdr:pic>
  </etc:cellImage>
  <etc:cellImage>
    <xdr:pic>
      <xdr:nvPicPr>
        <xdr:cNvPr id="73" name="ID_C4A2C6EB82834BC880D22D590C56281D" descr="B0CPY3NKWB_image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95250" y="41757600"/>
          <a:ext cx="190500" cy="488950"/>
        </a:xfrm>
        <a:prstGeom prst="rect">
          <a:avLst/>
        </a:prstGeom>
      </xdr:spPr>
    </xdr:pic>
  </etc:cellImage>
  <etc:cellImage>
    <xdr:pic>
      <xdr:nvPicPr>
        <xdr:cNvPr id="61" name="ID_0C846BA8CAD04326A9676D135D94F786" descr="B07S65M898_image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95250" y="34747200"/>
          <a:ext cx="476250" cy="488950"/>
        </a:xfrm>
        <a:prstGeom prst="rect">
          <a:avLst/>
        </a:prstGeom>
      </xdr:spPr>
    </xdr:pic>
  </etc:cellImage>
  <etc:cellImage>
    <xdr:pic>
      <xdr:nvPicPr>
        <xdr:cNvPr id="44" name="ID_CB0D9192E0704D88B6BB89F12864C981" descr="B0G11MRXL7_image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95250" y="24815800"/>
          <a:ext cx="533400" cy="488950"/>
        </a:xfrm>
        <a:prstGeom prst="rect">
          <a:avLst/>
        </a:prstGeom>
      </xdr:spPr>
    </xdr:pic>
  </etc:cellImage>
  <etc:cellImage>
    <xdr:pic>
      <xdr:nvPicPr>
        <xdr:cNvPr id="185" name="ID_4B3796C4B8E846E98FE868B54286A590" descr="B0DDYD77P7_image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95250" y="107188000"/>
          <a:ext cx="485775" cy="488950"/>
        </a:xfrm>
        <a:prstGeom prst="rect">
          <a:avLst/>
        </a:prstGeom>
      </xdr:spPr>
    </xdr:pic>
  </etc:cellImage>
  <etc:cellImage>
    <xdr:pic>
      <xdr:nvPicPr>
        <xdr:cNvPr id="84" name="ID_B56D677792F84195A9E2835949D9878A" descr="B0FS6QR2KM_image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95250" y="48183800"/>
          <a:ext cx="504825" cy="488950"/>
        </a:xfrm>
        <a:prstGeom prst="rect">
          <a:avLst/>
        </a:prstGeom>
      </xdr:spPr>
    </xdr:pic>
  </etc:cellImage>
  <etc:cellImage>
    <xdr:pic>
      <xdr:nvPicPr>
        <xdr:cNvPr id="41" name="ID_5F14AEF95F76428C8DA418E076846D26" descr="B09Z6Z5KGK_image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95250" y="23063200"/>
          <a:ext cx="485775" cy="488950"/>
        </a:xfrm>
        <a:prstGeom prst="rect">
          <a:avLst/>
        </a:prstGeom>
      </xdr:spPr>
    </xdr:pic>
  </etc:cellImage>
  <etc:cellImage>
    <xdr:pic>
      <xdr:nvPicPr>
        <xdr:cNvPr id="188" name="ID_3911D4EB32B745219417BC4171BAFA38" descr="B0FHH4JNF4_image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95250" y="108940600"/>
          <a:ext cx="495300" cy="488950"/>
        </a:xfrm>
        <a:prstGeom prst="rect">
          <a:avLst/>
        </a:prstGeom>
      </xdr:spPr>
    </xdr:pic>
  </etc:cellImage>
  <etc:cellImage>
    <xdr:pic>
      <xdr:nvPicPr>
        <xdr:cNvPr id="39" name="ID_02635C4BA00E460CB722533D77ACD71B" descr="B0F8QJL13N_image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95250" y="21894800"/>
          <a:ext cx="514350" cy="488950"/>
        </a:xfrm>
        <a:prstGeom prst="rect">
          <a:avLst/>
        </a:prstGeom>
      </xdr:spPr>
    </xdr:pic>
  </etc:cellImage>
  <etc:cellImage>
    <xdr:pic>
      <xdr:nvPicPr>
        <xdr:cNvPr id="35" name="ID_3AED672001644EA28122EE794444FDE7" descr="B0DWXHPNSG_image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95250" y="19558000"/>
          <a:ext cx="419100" cy="488950"/>
        </a:xfrm>
        <a:prstGeom prst="rect">
          <a:avLst/>
        </a:prstGeom>
      </xdr:spPr>
    </xdr:pic>
  </etc:cellImage>
  <etc:cellImage>
    <xdr:pic>
      <xdr:nvPicPr>
        <xdr:cNvPr id="51" name="ID_A7CCEC9E8BF54397B215BFEEC85FB4D0" descr="B0FCMLZG9X_image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95250" y="28905200"/>
          <a:ext cx="603250" cy="488950"/>
        </a:xfrm>
        <a:prstGeom prst="rect">
          <a:avLst/>
        </a:prstGeom>
      </xdr:spPr>
    </xdr:pic>
  </etc:cellImage>
  <etc:cellImage>
    <xdr:pic>
      <xdr:nvPicPr>
        <xdr:cNvPr id="193" name="ID_CF812A6FC17048C993765BDCD550431E" descr="B0FLP9KCRB_image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95250" y="111861600"/>
          <a:ext cx="485775" cy="488950"/>
        </a:xfrm>
        <a:prstGeom prst="rect">
          <a:avLst/>
        </a:prstGeom>
      </xdr:spPr>
    </xdr:pic>
  </etc:cellImage>
  <etc:cellImage>
    <xdr:pic>
      <xdr:nvPicPr>
        <xdr:cNvPr id="9" name="ID_AA42BDE11191479E93F4EA1D8EFFB9EC" descr="B0DT14FRPG_image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95250" y="4368800"/>
          <a:ext cx="457200" cy="488950"/>
        </a:xfrm>
        <a:prstGeom prst="rect">
          <a:avLst/>
        </a:prstGeom>
      </xdr:spPr>
    </xdr:pic>
  </etc:cellImage>
  <etc:cellImage>
    <xdr:pic>
      <xdr:nvPicPr>
        <xdr:cNvPr id="2" name="ID_A6CFC0E25CEB40BAA310BA8A3C3EC431" descr="B0F541YHB3_image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95250" y="279400"/>
          <a:ext cx="476250" cy="488950"/>
        </a:xfrm>
        <a:prstGeom prst="rect">
          <a:avLst/>
        </a:prstGeom>
      </xdr:spPr>
    </xdr:pic>
  </etc:cellImage>
  <etc:cellImage>
    <xdr:pic>
      <xdr:nvPicPr>
        <xdr:cNvPr id="3" name="ID_CE78B2BBBAF24A8D97973472A375ACBA" descr="B0F1TPH78Q_image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95250" y="863600"/>
          <a:ext cx="485775" cy="488950"/>
        </a:xfrm>
        <a:prstGeom prst="rect">
          <a:avLst/>
        </a:prstGeom>
      </xdr:spPr>
    </xdr:pic>
  </etc:cellImage>
  <etc:cellImage>
    <xdr:pic>
      <xdr:nvPicPr>
        <xdr:cNvPr id="17" name="ID_C4CB65C9A4BB48EFB9753E4A324AC2CE" descr="B0CZXCRSTF_image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95250" y="9042400"/>
          <a:ext cx="485775" cy="488950"/>
        </a:xfrm>
        <a:prstGeom prst="rect">
          <a:avLst/>
        </a:prstGeom>
      </xdr:spPr>
    </xdr:pic>
  </etc:cellImage>
  <etc:cellImage>
    <xdr:pic>
      <xdr:nvPicPr>
        <xdr:cNvPr id="50" name="ID_EBEEEAE7EDA045A4B2DF320A96150927" descr="B0FS2V8LLJ_image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95250" y="28321000"/>
          <a:ext cx="495300" cy="488950"/>
        </a:xfrm>
        <a:prstGeom prst="rect">
          <a:avLst/>
        </a:prstGeom>
      </xdr:spPr>
    </xdr:pic>
  </etc:cellImage>
  <etc:cellImage>
    <xdr:pic>
      <xdr:nvPicPr>
        <xdr:cNvPr id="8" name="ID_144F336C727B4AC395F775832092E1BD" descr="B0DD7HJ7YL_image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95250" y="3784600"/>
          <a:ext cx="504825" cy="488950"/>
        </a:xfrm>
        <a:prstGeom prst="rect">
          <a:avLst/>
        </a:prstGeom>
      </xdr:spPr>
    </xdr:pic>
  </etc:cellImage>
  <etc:cellImage>
    <xdr:pic>
      <xdr:nvPicPr>
        <xdr:cNvPr id="4" name="ID_3921243B57664B23BA75109E30B6C481" descr="B0FX3STD3X_image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95250" y="1447800"/>
          <a:ext cx="371475" cy="488950"/>
        </a:xfrm>
        <a:prstGeom prst="rect">
          <a:avLst/>
        </a:prstGeom>
      </xdr:spPr>
    </xdr:pic>
  </etc:cellImage>
  <etc:cellImage>
    <xdr:pic>
      <xdr:nvPicPr>
        <xdr:cNvPr id="5" name="ID_3102B67E901544BDA848756AAE3200C0" descr="B0CT5FK2YF_image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95250" y="2032000"/>
          <a:ext cx="552450" cy="488950"/>
        </a:xfrm>
        <a:prstGeom prst="rect">
          <a:avLst/>
        </a:prstGeom>
      </xdr:spPr>
    </xdr:pic>
  </etc:cellImage>
  <etc:cellImage>
    <xdr:pic>
      <xdr:nvPicPr>
        <xdr:cNvPr id="6" name="ID_A7BBD8E2AC524251B302296DF374D139" descr="B0F18BBHCC_image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95250" y="2616200"/>
          <a:ext cx="485775" cy="488950"/>
        </a:xfrm>
        <a:prstGeom prst="rect">
          <a:avLst/>
        </a:prstGeom>
      </xdr:spPr>
    </xdr:pic>
  </etc:cellImage>
  <etc:cellImage>
    <xdr:pic>
      <xdr:nvPicPr>
        <xdr:cNvPr id="22" name="ID_EC8FB076F5C546B4ABAA701B16506A4D" descr="B0FXFDFNV9_image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95250" y="11963400"/>
          <a:ext cx="485775" cy="488950"/>
        </a:xfrm>
        <a:prstGeom prst="rect">
          <a:avLst/>
        </a:prstGeom>
      </xdr:spPr>
    </xdr:pic>
  </etc:cellImage>
  <etc:cellImage>
    <xdr:pic>
      <xdr:nvPicPr>
        <xdr:cNvPr id="7" name="ID_3FF8161C6CB44864AFE76E213A38755D" descr="B0D7N2KWLH_image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95250" y="3200400"/>
          <a:ext cx="495300" cy="488950"/>
        </a:xfrm>
        <a:prstGeom prst="rect">
          <a:avLst/>
        </a:prstGeom>
      </xdr:spPr>
    </xdr:pic>
  </etc:cellImage>
  <etc:cellImage>
    <xdr:pic>
      <xdr:nvPicPr>
        <xdr:cNvPr id="26" name="ID_E89EF276788C4FFB89A9B4C00D899F55" descr="B0FM4G187P_image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95250" y="14300200"/>
          <a:ext cx="495300" cy="488950"/>
        </a:xfrm>
        <a:prstGeom prst="rect">
          <a:avLst/>
        </a:prstGeom>
      </xdr:spPr>
    </xdr:pic>
  </etc:cellImage>
  <etc:cellImage>
    <xdr:pic>
      <xdr:nvPicPr>
        <xdr:cNvPr id="20" name="ID_5B72EAB494AD44BAAFA497DF2B29ED4A" descr="B0G6SP6NC3_image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95250" y="10795000"/>
          <a:ext cx="485775" cy="488950"/>
        </a:xfrm>
        <a:prstGeom prst="rect">
          <a:avLst/>
        </a:prstGeom>
      </xdr:spPr>
    </xdr:pic>
  </etc:cellImage>
  <etc:cellImage>
    <xdr:pic>
      <xdr:nvPicPr>
        <xdr:cNvPr id="11" name="ID_69C68BCB03A0473E818AB94CD54A17E4" descr="B08NCRHNW9_image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95250" y="5537200"/>
          <a:ext cx="466725" cy="488950"/>
        </a:xfrm>
        <a:prstGeom prst="rect">
          <a:avLst/>
        </a:prstGeom>
      </xdr:spPr>
    </xdr:pic>
  </etc:cellImage>
  <etc:cellImage>
    <xdr:pic>
      <xdr:nvPicPr>
        <xdr:cNvPr id="181" name="ID_B37FCCC2FD124A24834007A1B9B4EF92" descr="B0D937NTSJ_image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95250" y="104851200"/>
          <a:ext cx="571500" cy="488950"/>
        </a:xfrm>
        <a:prstGeom prst="rect">
          <a:avLst/>
        </a:prstGeom>
      </xdr:spPr>
    </xdr:pic>
  </etc:cellImage>
  <etc:cellImage>
    <xdr:pic>
      <xdr:nvPicPr>
        <xdr:cNvPr id="53" name="ID_D7479075C0A5447CA7E0F931AA5C3790" descr="B0F4MC1HTG_image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95250" y="30073600"/>
          <a:ext cx="542925" cy="488950"/>
        </a:xfrm>
        <a:prstGeom prst="rect">
          <a:avLst/>
        </a:prstGeom>
      </xdr:spPr>
    </xdr:pic>
  </etc:cellImage>
  <etc:cellImage>
    <xdr:pic>
      <xdr:nvPicPr>
        <xdr:cNvPr id="199" name="ID_510337977A074E7898E7F4F2B4A209B4" descr="B0FJXM3Y4J_image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95250" y="115366800"/>
          <a:ext cx="390525" cy="488950"/>
        </a:xfrm>
        <a:prstGeom prst="rect">
          <a:avLst/>
        </a:prstGeom>
      </xdr:spPr>
    </xdr:pic>
  </etc:cellImage>
  <etc:cellImage>
    <xdr:pic>
      <xdr:nvPicPr>
        <xdr:cNvPr id="42" name="ID_6BBD247A31DD429C908FCAA85D45DA63" descr="B0D3X6YXXN_image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95250" y="23647400"/>
          <a:ext cx="504825" cy="488950"/>
        </a:xfrm>
        <a:prstGeom prst="rect">
          <a:avLst/>
        </a:prstGeom>
      </xdr:spPr>
    </xdr:pic>
  </etc:cellImage>
  <etc:cellImage>
    <xdr:pic>
      <xdr:nvPicPr>
        <xdr:cNvPr id="28" name="ID_82A88ABC8CF340FE94996AF5CA55E518" descr="B0CSDHFN3B_image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95250" y="15468600"/>
          <a:ext cx="571500" cy="488950"/>
        </a:xfrm>
        <a:prstGeom prst="rect">
          <a:avLst/>
        </a:prstGeom>
      </xdr:spPr>
    </xdr:pic>
  </etc:cellImage>
  <etc:cellImage>
    <xdr:pic>
      <xdr:nvPicPr>
        <xdr:cNvPr id="29" name="ID_43F999C71127459895B723BA440A1245" descr="B0FX87YWGP_image"/>
        <xdr:cNvPicPr>
          <a:picLocks noChangeAspect="1"/>
        </xdr:cNvPicPr>
      </xdr:nvPicPr>
      <xdr:blipFill>
        <a:blip r:embed="rId94"/>
        <a:stretch>
          <a:fillRect/>
        </a:stretch>
      </xdr:blipFill>
      <xdr:spPr>
        <a:xfrm>
          <a:off x="95250" y="16052800"/>
          <a:ext cx="495300" cy="488950"/>
        </a:xfrm>
        <a:prstGeom prst="rect">
          <a:avLst/>
        </a:prstGeom>
      </xdr:spPr>
    </xdr:pic>
  </etc:cellImage>
  <etc:cellImage>
    <xdr:pic>
      <xdr:nvPicPr>
        <xdr:cNvPr id="15" name="ID_59F4A8062573463D99B5F772111683DE" descr="B0FHBCKF9L_image"/>
        <xdr:cNvPicPr>
          <a:picLocks noChangeAspect="1"/>
        </xdr:cNvPicPr>
      </xdr:nvPicPr>
      <xdr:blipFill>
        <a:blip r:embed="rId95"/>
        <a:stretch>
          <a:fillRect/>
        </a:stretch>
      </xdr:blipFill>
      <xdr:spPr>
        <a:xfrm>
          <a:off x="95250" y="7874000"/>
          <a:ext cx="333375" cy="488950"/>
        </a:xfrm>
        <a:prstGeom prst="rect">
          <a:avLst/>
        </a:prstGeom>
      </xdr:spPr>
    </xdr:pic>
  </etc:cellImage>
  <etc:cellImage>
    <xdr:pic>
      <xdr:nvPicPr>
        <xdr:cNvPr id="16" name="ID_878C40D6ECDF42D493ECEF7A829FE02C" descr="B0FQJ9HNNS_image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95250" y="8458200"/>
          <a:ext cx="466725" cy="488950"/>
        </a:xfrm>
        <a:prstGeom prst="rect">
          <a:avLst/>
        </a:prstGeom>
      </xdr:spPr>
    </xdr:pic>
  </etc:cellImage>
  <etc:cellImage>
    <xdr:pic>
      <xdr:nvPicPr>
        <xdr:cNvPr id="57" name="ID_BE7FF54AA5EC4E539663AFBF284CBDAD" descr="B0FM4GTYM3_image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95250" y="32410400"/>
          <a:ext cx="495300" cy="488950"/>
        </a:xfrm>
        <a:prstGeom prst="rect">
          <a:avLst/>
        </a:prstGeom>
      </xdr:spPr>
    </xdr:pic>
  </etc:cellImage>
  <etc:cellImage>
    <xdr:pic>
      <xdr:nvPicPr>
        <xdr:cNvPr id="97" name="ID_08E4EEE66FF74D86A3A8C347EEAC1085" descr="B0BS9CM9CT_image"/>
        <xdr:cNvPicPr>
          <a:picLocks noChangeAspect="1"/>
        </xdr:cNvPicPr>
      </xdr:nvPicPr>
      <xdr:blipFill>
        <a:blip r:embed="rId98"/>
        <a:stretch>
          <a:fillRect/>
        </a:stretch>
      </xdr:blipFill>
      <xdr:spPr>
        <a:xfrm>
          <a:off x="95250" y="55778400"/>
          <a:ext cx="495300" cy="488950"/>
        </a:xfrm>
        <a:prstGeom prst="rect">
          <a:avLst/>
        </a:prstGeom>
      </xdr:spPr>
    </xdr:pic>
  </etc:cellImage>
  <etc:cellImage>
    <xdr:pic>
      <xdr:nvPicPr>
        <xdr:cNvPr id="40" name="ID_E527C2FBC7FB4FB0864D23ED24E30A01" descr="B0DFYP9LGZ_image"/>
        <xdr:cNvPicPr>
          <a:picLocks noChangeAspect="1"/>
        </xdr:cNvPicPr>
      </xdr:nvPicPr>
      <xdr:blipFill>
        <a:blip r:embed="rId99"/>
        <a:stretch>
          <a:fillRect/>
        </a:stretch>
      </xdr:blipFill>
      <xdr:spPr>
        <a:xfrm>
          <a:off x="95250" y="22479000"/>
          <a:ext cx="495300" cy="488950"/>
        </a:xfrm>
        <a:prstGeom prst="rect">
          <a:avLst/>
        </a:prstGeom>
      </xdr:spPr>
    </xdr:pic>
  </etc:cellImage>
  <etc:cellImage>
    <xdr:pic>
      <xdr:nvPicPr>
        <xdr:cNvPr id="38" name="ID_6F5B1557D44642F4AE127D8760028444" descr="B0F181GKGZ_image"/>
        <xdr:cNvPicPr>
          <a:picLocks noChangeAspect="1"/>
        </xdr:cNvPicPr>
      </xdr:nvPicPr>
      <xdr:blipFill>
        <a:blip r:embed="rId100"/>
        <a:stretch>
          <a:fillRect/>
        </a:stretch>
      </xdr:blipFill>
      <xdr:spPr>
        <a:xfrm>
          <a:off x="95250" y="21310600"/>
          <a:ext cx="371475" cy="488950"/>
        </a:xfrm>
        <a:prstGeom prst="rect">
          <a:avLst/>
        </a:prstGeom>
      </xdr:spPr>
    </xdr:pic>
  </etc:cellImage>
  <etc:cellImage>
    <xdr:pic>
      <xdr:nvPicPr>
        <xdr:cNvPr id="18" name="ID_087442A4A7544C2B96FED46E6822A8B9" descr="B0FJS8ZQWS_image"/>
        <xdr:cNvPicPr>
          <a:picLocks noChangeAspect="1"/>
        </xdr:cNvPicPr>
      </xdr:nvPicPr>
      <xdr:blipFill>
        <a:blip r:embed="rId101"/>
        <a:stretch>
          <a:fillRect/>
        </a:stretch>
      </xdr:blipFill>
      <xdr:spPr>
        <a:xfrm>
          <a:off x="95250" y="9626600"/>
          <a:ext cx="561975" cy="488950"/>
        </a:xfrm>
        <a:prstGeom prst="rect">
          <a:avLst/>
        </a:prstGeom>
      </xdr:spPr>
    </xdr:pic>
  </etc:cellImage>
  <etc:cellImage>
    <xdr:pic>
      <xdr:nvPicPr>
        <xdr:cNvPr id="54" name="ID_51A9A2CC688F4CAF8780BC4B8FAC5D32" descr="B0FC2PBLLS_image"/>
        <xdr:cNvPicPr>
          <a:picLocks noChangeAspect="1"/>
        </xdr:cNvPicPr>
      </xdr:nvPicPr>
      <xdr:blipFill>
        <a:blip r:embed="rId102"/>
        <a:stretch>
          <a:fillRect/>
        </a:stretch>
      </xdr:blipFill>
      <xdr:spPr>
        <a:xfrm>
          <a:off x="95250" y="30657800"/>
          <a:ext cx="542925" cy="488950"/>
        </a:xfrm>
        <a:prstGeom prst="rect">
          <a:avLst/>
        </a:prstGeom>
      </xdr:spPr>
    </xdr:pic>
  </etc:cellImage>
  <etc:cellImage>
    <xdr:pic>
      <xdr:nvPicPr>
        <xdr:cNvPr id="33" name="ID_FC33F60A798443168A645FE20A9D706A" descr="B0FS6V19BZ_image"/>
        <xdr:cNvPicPr>
          <a:picLocks noChangeAspect="1"/>
        </xdr:cNvPicPr>
      </xdr:nvPicPr>
      <xdr:blipFill>
        <a:blip r:embed="rId103"/>
        <a:stretch>
          <a:fillRect/>
        </a:stretch>
      </xdr:blipFill>
      <xdr:spPr>
        <a:xfrm>
          <a:off x="95250" y="18389600"/>
          <a:ext cx="504825" cy="488950"/>
        </a:xfrm>
        <a:prstGeom prst="rect">
          <a:avLst/>
        </a:prstGeom>
      </xdr:spPr>
    </xdr:pic>
  </etc:cellImage>
  <etc:cellImage>
    <xdr:pic>
      <xdr:nvPicPr>
        <xdr:cNvPr id="19" name="ID_A486593B9B9A45E3826D4876CB1565C9" descr="B0FMXH8STX_image"/>
        <xdr:cNvPicPr>
          <a:picLocks noChangeAspect="1"/>
        </xdr:cNvPicPr>
      </xdr:nvPicPr>
      <xdr:blipFill>
        <a:blip r:embed="rId104"/>
        <a:stretch>
          <a:fillRect/>
        </a:stretch>
      </xdr:blipFill>
      <xdr:spPr>
        <a:xfrm>
          <a:off x="95250" y="10210800"/>
          <a:ext cx="342900" cy="488950"/>
        </a:xfrm>
        <a:prstGeom prst="rect">
          <a:avLst/>
        </a:prstGeom>
      </xdr:spPr>
    </xdr:pic>
  </etc:cellImage>
  <etc:cellImage>
    <xdr:pic>
      <xdr:nvPicPr>
        <xdr:cNvPr id="75" name="ID_76D1BCB1B1CE4119BAB08E2E311F8678" descr="B0DQ85FK8B_image"/>
        <xdr:cNvPicPr>
          <a:picLocks noChangeAspect="1"/>
        </xdr:cNvPicPr>
      </xdr:nvPicPr>
      <xdr:blipFill>
        <a:blip r:embed="rId105"/>
        <a:stretch>
          <a:fillRect/>
        </a:stretch>
      </xdr:blipFill>
      <xdr:spPr>
        <a:xfrm>
          <a:off x="95250" y="42926000"/>
          <a:ext cx="457200" cy="488950"/>
        </a:xfrm>
        <a:prstGeom prst="rect">
          <a:avLst/>
        </a:prstGeom>
      </xdr:spPr>
    </xdr:pic>
  </etc:cellImage>
  <etc:cellImage>
    <xdr:pic>
      <xdr:nvPicPr>
        <xdr:cNvPr id="200" name="ID_35E6ACBFC5044B029868F620A4DEC60A" descr="B0DT3C5ZFY_image"/>
        <xdr:cNvPicPr>
          <a:picLocks noChangeAspect="1"/>
        </xdr:cNvPicPr>
      </xdr:nvPicPr>
      <xdr:blipFill>
        <a:blip r:embed="rId106"/>
        <a:stretch>
          <a:fillRect/>
        </a:stretch>
      </xdr:blipFill>
      <xdr:spPr>
        <a:xfrm>
          <a:off x="95250" y="115951000"/>
          <a:ext cx="495300" cy="488950"/>
        </a:xfrm>
        <a:prstGeom prst="rect">
          <a:avLst/>
        </a:prstGeom>
      </xdr:spPr>
    </xdr:pic>
  </etc:cellImage>
  <etc:cellImage>
    <xdr:pic>
      <xdr:nvPicPr>
        <xdr:cNvPr id="64" name="ID_F0DFA3A4CDB14F6CB4ED09144B60349E" descr="B083VTJ3QC_image"/>
        <xdr:cNvPicPr>
          <a:picLocks noChangeAspect="1"/>
        </xdr:cNvPicPr>
      </xdr:nvPicPr>
      <xdr:blipFill>
        <a:blip r:embed="rId107"/>
        <a:stretch>
          <a:fillRect/>
        </a:stretch>
      </xdr:blipFill>
      <xdr:spPr>
        <a:xfrm>
          <a:off x="95250" y="36499800"/>
          <a:ext cx="603250" cy="409575"/>
        </a:xfrm>
        <a:prstGeom prst="rect">
          <a:avLst/>
        </a:prstGeom>
      </xdr:spPr>
    </xdr:pic>
  </etc:cellImage>
  <etc:cellImage>
    <xdr:pic>
      <xdr:nvPicPr>
        <xdr:cNvPr id="25" name="ID_70B72BF4402E4D6883DAFC29EFD85AC0" descr="B0CR3PBQ25_image"/>
        <xdr:cNvPicPr>
          <a:picLocks noChangeAspect="1"/>
        </xdr:cNvPicPr>
      </xdr:nvPicPr>
      <xdr:blipFill>
        <a:blip r:embed="rId108"/>
        <a:stretch>
          <a:fillRect/>
        </a:stretch>
      </xdr:blipFill>
      <xdr:spPr>
        <a:xfrm>
          <a:off x="95250" y="13716000"/>
          <a:ext cx="495300" cy="488950"/>
        </a:xfrm>
        <a:prstGeom prst="rect">
          <a:avLst/>
        </a:prstGeom>
      </xdr:spPr>
    </xdr:pic>
  </etc:cellImage>
  <etc:cellImage>
    <xdr:pic>
      <xdr:nvPicPr>
        <xdr:cNvPr id="27" name="ID_AE15053FEED944D890956D4ACFCA5EBD" descr="B0FWKDTQLN_image"/>
        <xdr:cNvPicPr>
          <a:picLocks noChangeAspect="1"/>
        </xdr:cNvPicPr>
      </xdr:nvPicPr>
      <xdr:blipFill>
        <a:blip r:embed="rId109"/>
        <a:stretch>
          <a:fillRect/>
        </a:stretch>
      </xdr:blipFill>
      <xdr:spPr>
        <a:xfrm>
          <a:off x="95250" y="14884400"/>
          <a:ext cx="495300" cy="488950"/>
        </a:xfrm>
        <a:prstGeom prst="rect">
          <a:avLst/>
        </a:prstGeom>
      </xdr:spPr>
    </xdr:pic>
  </etc:cellImage>
  <etc:cellImage>
    <xdr:pic>
      <xdr:nvPicPr>
        <xdr:cNvPr id="43" name="ID_FD6C2F5114554820839337A88BEEEB38" descr="B0F8Q8KXVW_image"/>
        <xdr:cNvPicPr>
          <a:picLocks noChangeAspect="1"/>
        </xdr:cNvPicPr>
      </xdr:nvPicPr>
      <xdr:blipFill>
        <a:blip r:embed="rId110"/>
        <a:stretch>
          <a:fillRect/>
        </a:stretch>
      </xdr:blipFill>
      <xdr:spPr>
        <a:xfrm>
          <a:off x="95250" y="24231600"/>
          <a:ext cx="428625" cy="488950"/>
        </a:xfrm>
        <a:prstGeom prst="rect">
          <a:avLst/>
        </a:prstGeom>
      </xdr:spPr>
    </xdr:pic>
  </etc:cellImage>
  <etc:cellImage>
    <xdr:pic>
      <xdr:nvPicPr>
        <xdr:cNvPr id="30" name="ID_712634713A5F44DABAA46115BF6DC7B3" descr="B0FVNQ3C9M_image"/>
        <xdr:cNvPicPr>
          <a:picLocks noChangeAspect="1"/>
        </xdr:cNvPicPr>
      </xdr:nvPicPr>
      <xdr:blipFill>
        <a:blip r:embed="rId111"/>
        <a:stretch>
          <a:fillRect/>
        </a:stretch>
      </xdr:blipFill>
      <xdr:spPr>
        <a:xfrm>
          <a:off x="95250" y="16637000"/>
          <a:ext cx="476250" cy="488950"/>
        </a:xfrm>
        <a:prstGeom prst="rect">
          <a:avLst/>
        </a:prstGeom>
      </xdr:spPr>
    </xdr:pic>
  </etc:cellImage>
  <etc:cellImage>
    <xdr:pic>
      <xdr:nvPicPr>
        <xdr:cNvPr id="31" name="ID_467F6223AA1646188A597FBAA7B2F8A3" descr="B0CZ8NZ97F_image"/>
        <xdr:cNvPicPr>
          <a:picLocks noChangeAspect="1"/>
        </xdr:cNvPicPr>
      </xdr:nvPicPr>
      <xdr:blipFill>
        <a:blip r:embed="rId112"/>
        <a:stretch>
          <a:fillRect/>
        </a:stretch>
      </xdr:blipFill>
      <xdr:spPr>
        <a:xfrm>
          <a:off x="95250" y="17221200"/>
          <a:ext cx="514350" cy="488950"/>
        </a:xfrm>
        <a:prstGeom prst="rect">
          <a:avLst/>
        </a:prstGeom>
      </xdr:spPr>
    </xdr:pic>
  </etc:cellImage>
  <etc:cellImage>
    <xdr:pic>
      <xdr:nvPicPr>
        <xdr:cNvPr id="32" name="ID_E5D3591736AE4CF3AE3F222F89AFE134" descr="B0FWQK7LV2_image"/>
        <xdr:cNvPicPr>
          <a:picLocks noChangeAspect="1"/>
        </xdr:cNvPicPr>
      </xdr:nvPicPr>
      <xdr:blipFill>
        <a:blip r:embed="rId113"/>
        <a:stretch>
          <a:fillRect/>
        </a:stretch>
      </xdr:blipFill>
      <xdr:spPr>
        <a:xfrm>
          <a:off x="95250" y="17805400"/>
          <a:ext cx="603250" cy="438150"/>
        </a:xfrm>
        <a:prstGeom prst="rect">
          <a:avLst/>
        </a:prstGeom>
      </xdr:spPr>
    </xdr:pic>
  </etc:cellImage>
  <etc:cellImage>
    <xdr:pic>
      <xdr:nvPicPr>
        <xdr:cNvPr id="1117" name="ID_4D74B5C6CE2842668B72B72051167C46" descr="B073RHGQPR_product_img"/>
        <xdr:cNvPicPr/>
      </xdr:nvPicPr>
      <xdr:blipFill>
        <a:blip r:embed="rId114"/>
        <a:stretch>
          <a:fillRect/>
        </a:stretch>
      </xdr:blipFill>
      <xdr:spPr>
        <a:xfrm>
          <a:off x="933450" y="311509410"/>
          <a:ext cx="411480" cy="411480"/>
        </a:xfrm>
        <a:prstGeom prst="rect">
          <a:avLst/>
        </a:prstGeom>
      </xdr:spPr>
    </xdr:pic>
  </etc:cellImage>
  <etc:cellImage>
    <xdr:pic>
      <xdr:nvPicPr>
        <xdr:cNvPr id="1105" name="ID_EDB27B230D55466FAECF7243F25394A3" descr="B09WB6PWCC_product_img"/>
        <xdr:cNvPicPr/>
      </xdr:nvPicPr>
      <xdr:blipFill>
        <a:blip r:embed="rId115"/>
        <a:stretch>
          <a:fillRect/>
        </a:stretch>
      </xdr:blipFill>
      <xdr:spPr>
        <a:xfrm>
          <a:off x="933450" y="68964175"/>
          <a:ext cx="411480" cy="411480"/>
        </a:xfrm>
        <a:prstGeom prst="rect">
          <a:avLst/>
        </a:prstGeom>
      </xdr:spPr>
    </xdr:pic>
  </etc:cellImage>
  <etc:cellImage>
    <xdr:pic>
      <xdr:nvPicPr>
        <xdr:cNvPr id="1055" name="ID_081FAA064A50457F8BB70C03AB097477" descr="B01BYLHNEE_product_img"/>
        <xdr:cNvPicPr/>
      </xdr:nvPicPr>
      <xdr:blipFill>
        <a:blip r:embed="rId116"/>
        <a:stretch>
          <a:fillRect/>
        </a:stretch>
      </xdr:blipFill>
      <xdr:spPr>
        <a:xfrm>
          <a:off x="933450" y="161604325"/>
          <a:ext cx="411480" cy="411480"/>
        </a:xfrm>
        <a:prstGeom prst="rect">
          <a:avLst/>
        </a:prstGeom>
      </xdr:spPr>
    </xdr:pic>
  </etc:cellImage>
  <etc:cellImage>
    <xdr:pic>
      <xdr:nvPicPr>
        <xdr:cNvPr id="1051" name="ID_70A4BD0D8F724621A05B1DB3B7E54CCC" descr="B0GFX242PX_product_img"/>
        <xdr:cNvPicPr/>
      </xdr:nvPicPr>
      <xdr:blipFill>
        <a:blip r:embed="rId117"/>
        <a:stretch>
          <a:fillRect/>
        </a:stretch>
      </xdr:blipFill>
      <xdr:spPr>
        <a:xfrm>
          <a:off x="933450" y="170748325"/>
          <a:ext cx="411480" cy="411480"/>
        </a:xfrm>
        <a:prstGeom prst="rect">
          <a:avLst/>
        </a:prstGeom>
      </xdr:spPr>
    </xdr:pic>
  </etc:cellImage>
  <etc:cellImage>
    <xdr:pic>
      <xdr:nvPicPr>
        <xdr:cNvPr id="1050" name="ID_F0B0D93FDFA240AF926BC55D3AE14AB3" descr="B0GFWPLGNL_product_img"/>
        <xdr:cNvPicPr/>
      </xdr:nvPicPr>
      <xdr:blipFill>
        <a:blip r:embed="rId118"/>
        <a:stretch>
          <a:fillRect/>
        </a:stretch>
      </xdr:blipFill>
      <xdr:spPr>
        <a:xfrm>
          <a:off x="933450" y="182273575"/>
          <a:ext cx="411480" cy="411480"/>
        </a:xfrm>
        <a:prstGeom prst="rect">
          <a:avLst/>
        </a:prstGeom>
      </xdr:spPr>
    </xdr:pic>
  </etc:cellImage>
  <etc:cellImage>
    <xdr:pic>
      <xdr:nvPicPr>
        <xdr:cNvPr id="1049" name="ID_13A85EF41ECA4C4ABC977CACC3FE25CF" descr="B0GFWL82ZH_product_img"/>
        <xdr:cNvPicPr/>
      </xdr:nvPicPr>
      <xdr:blipFill>
        <a:blip r:embed="rId119"/>
        <a:stretch>
          <a:fillRect/>
        </a:stretch>
      </xdr:blipFill>
      <xdr:spPr>
        <a:xfrm>
          <a:off x="933450" y="168005125"/>
          <a:ext cx="411480" cy="411480"/>
        </a:xfrm>
        <a:prstGeom prst="rect">
          <a:avLst/>
        </a:prstGeom>
      </xdr:spPr>
    </xdr:pic>
  </etc:cellImage>
  <etc:cellImage>
    <xdr:pic>
      <xdr:nvPicPr>
        <xdr:cNvPr id="1046" name="ID_36286FB023B644DCA107F0CA843867AF" descr="B0GF8PGXPT_product_img"/>
        <xdr:cNvPicPr/>
      </xdr:nvPicPr>
      <xdr:blipFill>
        <a:blip r:embed="rId120"/>
        <a:stretch>
          <a:fillRect/>
        </a:stretch>
      </xdr:blipFill>
      <xdr:spPr>
        <a:xfrm>
          <a:off x="933450" y="179346225"/>
          <a:ext cx="411480" cy="411480"/>
        </a:xfrm>
        <a:prstGeom prst="rect">
          <a:avLst/>
        </a:prstGeom>
      </xdr:spPr>
    </xdr:pic>
  </etc:cellImage>
  <etc:cellImage>
    <xdr:pic>
      <xdr:nvPicPr>
        <xdr:cNvPr id="1044" name="ID_FEE2B57789BF4C51ABA72D5424135FD3" descr="B0GF8HBHFN_product_img"/>
        <xdr:cNvPicPr/>
      </xdr:nvPicPr>
      <xdr:blipFill>
        <a:blip r:embed="rId121"/>
        <a:stretch>
          <a:fillRect/>
        </a:stretch>
      </xdr:blipFill>
      <xdr:spPr>
        <a:xfrm>
          <a:off x="933450" y="175777525"/>
          <a:ext cx="411480" cy="411480"/>
        </a:xfrm>
        <a:prstGeom prst="rect">
          <a:avLst/>
        </a:prstGeom>
      </xdr:spPr>
    </xdr:pic>
  </etc:cellImage>
  <etc:cellImage>
    <xdr:pic>
      <xdr:nvPicPr>
        <xdr:cNvPr id="1043" name="ID_7C8A9E01644B4082BF358D48520AC8D5" descr="B0GF8F2R45_product_img"/>
        <xdr:cNvPicPr/>
      </xdr:nvPicPr>
      <xdr:blipFill>
        <a:blip r:embed="rId122"/>
        <a:stretch>
          <a:fillRect/>
        </a:stretch>
      </xdr:blipFill>
      <xdr:spPr>
        <a:xfrm>
          <a:off x="933450" y="174405925"/>
          <a:ext cx="411480" cy="411480"/>
        </a:xfrm>
        <a:prstGeom prst="rect">
          <a:avLst/>
        </a:prstGeom>
      </xdr:spPr>
    </xdr:pic>
  </etc:cellImage>
  <etc:cellImage>
    <xdr:pic>
      <xdr:nvPicPr>
        <xdr:cNvPr id="1042" name="ID_C198361FD9324A7C9120B8C5944C7BAA" descr="B0GDYYZ9DW_product_img"/>
        <xdr:cNvPicPr/>
      </xdr:nvPicPr>
      <xdr:blipFill>
        <a:blip r:embed="rId123"/>
        <a:stretch>
          <a:fillRect/>
        </a:stretch>
      </xdr:blipFill>
      <xdr:spPr>
        <a:xfrm>
          <a:off x="933450" y="79936975"/>
          <a:ext cx="411480" cy="411480"/>
        </a:xfrm>
        <a:prstGeom prst="rect">
          <a:avLst/>
        </a:prstGeom>
      </xdr:spPr>
    </xdr:pic>
  </etc:cellImage>
  <etc:cellImage>
    <xdr:pic>
      <xdr:nvPicPr>
        <xdr:cNvPr id="1040" name="ID_07A95F68B3954E2C886E1FAE61D1AB95" descr="B0GCJQF4J5_product_img"/>
        <xdr:cNvPicPr/>
      </xdr:nvPicPr>
      <xdr:blipFill>
        <a:blip r:embed="rId124"/>
        <a:stretch>
          <a:fillRect/>
        </a:stretch>
      </xdr:blipFill>
      <xdr:spPr>
        <a:xfrm>
          <a:off x="933450" y="165719125"/>
          <a:ext cx="411480" cy="411480"/>
        </a:xfrm>
        <a:prstGeom prst="rect">
          <a:avLst/>
        </a:prstGeom>
      </xdr:spPr>
    </xdr:pic>
  </etc:cellImage>
  <etc:cellImage>
    <xdr:pic>
      <xdr:nvPicPr>
        <xdr:cNvPr id="1039" name="ID_430491746A8F4AA3BBA2DEF27B42F050" descr="B0GCHY3PJK_product_img"/>
        <xdr:cNvPicPr/>
      </xdr:nvPicPr>
      <xdr:blipFill>
        <a:blip r:embed="rId125"/>
        <a:stretch>
          <a:fillRect/>
        </a:stretch>
      </xdr:blipFill>
      <xdr:spPr>
        <a:xfrm>
          <a:off x="933450" y="442478160"/>
          <a:ext cx="411480" cy="411480"/>
        </a:xfrm>
        <a:prstGeom prst="rect">
          <a:avLst/>
        </a:prstGeom>
      </xdr:spPr>
    </xdr:pic>
  </etc:cellImage>
  <etc:cellImage>
    <xdr:pic>
      <xdr:nvPicPr>
        <xdr:cNvPr id="1037" name="ID_A8F5854C18C84B7EBA5514300A65C4B2" descr="B0GC4RQQX3_product_img"/>
        <xdr:cNvPicPr/>
      </xdr:nvPicPr>
      <xdr:blipFill>
        <a:blip r:embed="rId126"/>
        <a:stretch>
          <a:fillRect/>
        </a:stretch>
      </xdr:blipFill>
      <xdr:spPr>
        <a:xfrm>
          <a:off x="933450" y="98231325"/>
          <a:ext cx="411480" cy="411480"/>
        </a:xfrm>
        <a:prstGeom prst="rect">
          <a:avLst/>
        </a:prstGeom>
      </xdr:spPr>
    </xdr:pic>
  </etc:cellImage>
  <etc:cellImage>
    <xdr:pic>
      <xdr:nvPicPr>
        <xdr:cNvPr id="1030" name="ID_9E0B1E4871F04A4FA3072AED20A09EE7" descr="B0G66DBLQW_product_img"/>
        <xdr:cNvPicPr/>
      </xdr:nvPicPr>
      <xdr:blipFill>
        <a:blip r:embed="rId127"/>
        <a:stretch>
          <a:fillRect/>
        </a:stretch>
      </xdr:blipFill>
      <xdr:spPr>
        <a:xfrm>
          <a:off x="933450" y="134172325"/>
          <a:ext cx="411480" cy="411480"/>
        </a:xfrm>
        <a:prstGeom prst="rect">
          <a:avLst/>
        </a:prstGeom>
      </xdr:spPr>
    </xdr:pic>
  </etc:cellImage>
  <etc:cellImage>
    <xdr:pic>
      <xdr:nvPicPr>
        <xdr:cNvPr id="1024" name="ID_A84E3BDD9AB34870906EE24B9886DE91" descr="B0G46KNGR6_product_img"/>
        <xdr:cNvPicPr/>
      </xdr:nvPicPr>
      <xdr:blipFill>
        <a:blip r:embed="rId128"/>
        <a:stretch>
          <a:fillRect/>
        </a:stretch>
      </xdr:blipFill>
      <xdr:spPr>
        <a:xfrm>
          <a:off x="933450" y="291475160"/>
          <a:ext cx="411480" cy="411480"/>
        </a:xfrm>
        <a:prstGeom prst="rect">
          <a:avLst/>
        </a:prstGeom>
      </xdr:spPr>
    </xdr:pic>
  </etc:cellImage>
  <etc:cellImage>
    <xdr:pic>
      <xdr:nvPicPr>
        <xdr:cNvPr id="1022" name="ID_2104D368754E4126BC0CE17CBB559AF1" descr="B0G34CD7PK_product_img"/>
        <xdr:cNvPicPr/>
      </xdr:nvPicPr>
      <xdr:blipFill>
        <a:blip r:embed="rId129"/>
        <a:stretch>
          <a:fillRect/>
        </a:stretch>
      </xdr:blipFill>
      <xdr:spPr>
        <a:xfrm>
          <a:off x="933450" y="503114310"/>
          <a:ext cx="411480" cy="411480"/>
        </a:xfrm>
        <a:prstGeom prst="rect">
          <a:avLst/>
        </a:prstGeom>
      </xdr:spPr>
    </xdr:pic>
  </etc:cellImage>
  <etc:cellImage>
    <xdr:pic>
      <xdr:nvPicPr>
        <xdr:cNvPr id="1017" name="ID_6479A6B829CE479DA28F6F54AD1131E9" descr="B0G11M9QFN_product_img"/>
        <xdr:cNvPicPr/>
      </xdr:nvPicPr>
      <xdr:blipFill>
        <a:blip r:embed="rId130"/>
        <a:stretch>
          <a:fillRect/>
        </a:stretch>
      </xdr:blipFill>
      <xdr:spPr>
        <a:xfrm>
          <a:off x="933450" y="165261925"/>
          <a:ext cx="411480" cy="411480"/>
        </a:xfrm>
        <a:prstGeom prst="rect">
          <a:avLst/>
        </a:prstGeom>
      </xdr:spPr>
    </xdr:pic>
  </etc:cellImage>
  <etc:cellImage>
    <xdr:pic>
      <xdr:nvPicPr>
        <xdr:cNvPr id="1011" name="ID_18006C4B2C244145BA9D014E6DEA9E32" descr="B0G6CDS6PV_product_img"/>
        <xdr:cNvPicPr/>
      </xdr:nvPicPr>
      <xdr:blipFill>
        <a:blip r:embed="rId131"/>
        <a:stretch>
          <a:fillRect/>
        </a:stretch>
      </xdr:blipFill>
      <xdr:spPr>
        <a:xfrm>
          <a:off x="933450" y="173491525"/>
          <a:ext cx="411480" cy="411480"/>
        </a:xfrm>
        <a:prstGeom prst="rect">
          <a:avLst/>
        </a:prstGeom>
      </xdr:spPr>
    </xdr:pic>
  </etc:cellImage>
  <etc:cellImage>
    <xdr:pic>
      <xdr:nvPicPr>
        <xdr:cNvPr id="1010" name="ID_629C8224672E44298928B5504155B1B9" descr="B0G5XVYXH2_product_img"/>
        <xdr:cNvPicPr/>
      </xdr:nvPicPr>
      <xdr:blipFill>
        <a:blip r:embed="rId132"/>
        <a:stretch>
          <a:fillRect/>
        </a:stretch>
      </xdr:blipFill>
      <xdr:spPr>
        <a:xfrm>
          <a:off x="933450" y="459032610"/>
          <a:ext cx="411480" cy="411480"/>
        </a:xfrm>
        <a:prstGeom prst="rect">
          <a:avLst/>
        </a:prstGeom>
      </xdr:spPr>
    </xdr:pic>
  </etc:cellImage>
  <etc:cellImage>
    <xdr:pic>
      <xdr:nvPicPr>
        <xdr:cNvPr id="1008" name="ID_14581785BEF44B3D873949FBAAF93746" descr="B0G4VRFJ9Z_product_img"/>
        <xdr:cNvPicPr/>
      </xdr:nvPicPr>
      <xdr:blipFill>
        <a:blip r:embed="rId133"/>
        <a:stretch>
          <a:fillRect/>
        </a:stretch>
      </xdr:blipFill>
      <xdr:spPr>
        <a:xfrm>
          <a:off x="933450" y="81949925"/>
          <a:ext cx="411480" cy="411480"/>
        </a:xfrm>
        <a:prstGeom prst="rect">
          <a:avLst/>
        </a:prstGeom>
      </xdr:spPr>
    </xdr:pic>
  </etc:cellImage>
  <etc:cellImage>
    <xdr:pic>
      <xdr:nvPicPr>
        <xdr:cNvPr id="1003" name="ID_CA7F17D7038F4DCEB9401BD54F30E13E" descr="B0G4QLRZDG_product_img"/>
        <xdr:cNvPicPr/>
      </xdr:nvPicPr>
      <xdr:blipFill>
        <a:blip r:embed="rId134"/>
        <a:stretch>
          <a:fillRect/>
        </a:stretch>
      </xdr:blipFill>
      <xdr:spPr>
        <a:xfrm>
          <a:off x="933450" y="401507960"/>
          <a:ext cx="411480" cy="411480"/>
        </a:xfrm>
        <a:prstGeom prst="rect">
          <a:avLst/>
        </a:prstGeom>
      </xdr:spPr>
    </xdr:pic>
  </etc:cellImage>
  <etc:cellImage>
    <xdr:pic>
      <xdr:nvPicPr>
        <xdr:cNvPr id="992" name="ID_B3D19FB5E4DF41CE8F309D8C1BD8E44C" descr="B0G2RPG93Q_product_img"/>
        <xdr:cNvPicPr/>
      </xdr:nvPicPr>
      <xdr:blipFill>
        <a:blip r:embed="rId135"/>
        <a:stretch>
          <a:fillRect/>
        </a:stretch>
      </xdr:blipFill>
      <xdr:spPr>
        <a:xfrm>
          <a:off x="933450" y="115516025"/>
          <a:ext cx="411480" cy="411480"/>
        </a:xfrm>
        <a:prstGeom prst="rect">
          <a:avLst/>
        </a:prstGeom>
      </xdr:spPr>
    </xdr:pic>
  </etc:cellImage>
  <etc:cellImage>
    <xdr:pic>
      <xdr:nvPicPr>
        <xdr:cNvPr id="991" name="ID_38AFC28EE08F4B8B864086E4EB270123" descr="B0G2RMR5TH_product_img"/>
        <xdr:cNvPicPr/>
      </xdr:nvPicPr>
      <xdr:blipFill>
        <a:blip r:embed="rId136"/>
        <a:stretch>
          <a:fillRect/>
        </a:stretch>
      </xdr:blipFill>
      <xdr:spPr>
        <a:xfrm>
          <a:off x="933450" y="200561575"/>
          <a:ext cx="411480" cy="411480"/>
        </a:xfrm>
        <a:prstGeom prst="rect">
          <a:avLst/>
        </a:prstGeom>
      </xdr:spPr>
    </xdr:pic>
  </etc:cellImage>
  <etc:cellImage>
    <xdr:pic>
      <xdr:nvPicPr>
        <xdr:cNvPr id="985" name="ID_F560855181FF4864A67679A5B0E67495" descr="B0G2G25DFS_product_img"/>
        <xdr:cNvPicPr/>
      </xdr:nvPicPr>
      <xdr:blipFill>
        <a:blip r:embed="rId137"/>
        <a:stretch>
          <a:fillRect/>
        </a:stretch>
      </xdr:blipFill>
      <xdr:spPr>
        <a:xfrm>
          <a:off x="933450" y="198732775"/>
          <a:ext cx="411480" cy="411480"/>
        </a:xfrm>
        <a:prstGeom prst="rect">
          <a:avLst/>
        </a:prstGeom>
      </xdr:spPr>
    </xdr:pic>
  </etc:cellImage>
  <etc:cellImage>
    <xdr:pic>
      <xdr:nvPicPr>
        <xdr:cNvPr id="982" name="ID_1BD05F5B24CB4221A0E3A8E0AA98186F" descr="B0G2BHGT2G_product_img"/>
        <xdr:cNvPicPr/>
      </xdr:nvPicPr>
      <xdr:blipFill>
        <a:blip r:embed="rId138"/>
        <a:stretch>
          <a:fillRect/>
        </a:stretch>
      </xdr:blipFill>
      <xdr:spPr>
        <a:xfrm>
          <a:off x="933450" y="385594860"/>
          <a:ext cx="411480" cy="411480"/>
        </a:xfrm>
        <a:prstGeom prst="rect">
          <a:avLst/>
        </a:prstGeom>
      </xdr:spPr>
    </xdr:pic>
  </etc:cellImage>
  <etc:cellImage>
    <xdr:pic>
      <xdr:nvPicPr>
        <xdr:cNvPr id="980" name="ID_18323A8703844133A6E04C0E700E9884" descr="B0G2B9CH3K_product_img"/>
        <xdr:cNvPicPr/>
      </xdr:nvPicPr>
      <xdr:blipFill>
        <a:blip r:embed="rId139"/>
        <a:stretch>
          <a:fillRect/>
        </a:stretch>
      </xdr:blipFill>
      <xdr:spPr>
        <a:xfrm>
          <a:off x="933450" y="124844175"/>
          <a:ext cx="411480" cy="411480"/>
        </a:xfrm>
        <a:prstGeom prst="rect">
          <a:avLst/>
        </a:prstGeom>
      </xdr:spPr>
    </xdr:pic>
  </etc:cellImage>
  <etc:cellImage>
    <xdr:pic>
      <xdr:nvPicPr>
        <xdr:cNvPr id="977" name="ID_F20680F7E5BB47ECB21FC70285C1E712" descr="B0G1YMQGB2_product_img"/>
        <xdr:cNvPicPr/>
      </xdr:nvPicPr>
      <xdr:blipFill>
        <a:blip r:embed="rId140"/>
        <a:stretch>
          <a:fillRect/>
        </a:stretch>
      </xdr:blipFill>
      <xdr:spPr>
        <a:xfrm>
          <a:off x="933450" y="87347425"/>
          <a:ext cx="411480" cy="411480"/>
        </a:xfrm>
        <a:prstGeom prst="rect">
          <a:avLst/>
        </a:prstGeom>
      </xdr:spPr>
    </xdr:pic>
  </etc:cellImage>
  <etc:cellImage>
    <xdr:pic>
      <xdr:nvPicPr>
        <xdr:cNvPr id="976" name="ID_425CC2E4E46648F99CE3DBC8E5C4ACCA" descr="B0G1YGQQJT_product_img"/>
        <xdr:cNvPicPr/>
      </xdr:nvPicPr>
      <xdr:blipFill>
        <a:blip r:embed="rId141"/>
        <a:stretch>
          <a:fillRect/>
        </a:stretch>
      </xdr:blipFill>
      <xdr:spPr>
        <a:xfrm>
          <a:off x="933450" y="265681460"/>
          <a:ext cx="411480" cy="411480"/>
        </a:xfrm>
        <a:prstGeom prst="rect">
          <a:avLst/>
        </a:prstGeom>
      </xdr:spPr>
    </xdr:pic>
  </etc:cellImage>
  <etc:cellImage>
    <xdr:pic>
      <xdr:nvPicPr>
        <xdr:cNvPr id="970" name="ID_3649D9E59C3F4528B1BA280975A5944F" descr="B0G1MR4BK7_product_img"/>
        <xdr:cNvPicPr/>
      </xdr:nvPicPr>
      <xdr:blipFill>
        <a:blip r:embed="rId142"/>
        <a:stretch>
          <a:fillRect/>
        </a:stretch>
      </xdr:blipFill>
      <xdr:spPr>
        <a:xfrm>
          <a:off x="933450" y="148802725"/>
          <a:ext cx="411480" cy="411480"/>
        </a:xfrm>
        <a:prstGeom prst="rect">
          <a:avLst/>
        </a:prstGeom>
      </xdr:spPr>
    </xdr:pic>
  </etc:cellImage>
  <etc:cellImage>
    <xdr:pic>
      <xdr:nvPicPr>
        <xdr:cNvPr id="966" name="ID_B05E063462DD42CF838C496557197BBC" descr="B0G1BGVBYR_product_img"/>
        <xdr:cNvPicPr/>
      </xdr:nvPicPr>
      <xdr:blipFill>
        <a:blip r:embed="rId143"/>
        <a:stretch>
          <a:fillRect/>
        </a:stretch>
      </xdr:blipFill>
      <xdr:spPr>
        <a:xfrm>
          <a:off x="933450" y="70335775"/>
          <a:ext cx="411480" cy="411480"/>
        </a:xfrm>
        <a:prstGeom prst="rect">
          <a:avLst/>
        </a:prstGeom>
      </xdr:spPr>
    </xdr:pic>
  </etc:cellImage>
  <etc:cellImage>
    <xdr:pic>
      <xdr:nvPicPr>
        <xdr:cNvPr id="965" name="ID_4078111E35664E7895A3884A32BD933B" descr="B0G1BCD5TS_product_img"/>
        <xdr:cNvPicPr/>
      </xdr:nvPicPr>
      <xdr:blipFill>
        <a:blip r:embed="rId144"/>
        <a:stretch>
          <a:fillRect/>
        </a:stretch>
      </xdr:blipFill>
      <xdr:spPr>
        <a:xfrm>
          <a:off x="933450" y="97316925"/>
          <a:ext cx="411480" cy="411480"/>
        </a:xfrm>
        <a:prstGeom prst="rect">
          <a:avLst/>
        </a:prstGeom>
      </xdr:spPr>
    </xdr:pic>
  </etc:cellImage>
  <etc:cellImage>
    <xdr:pic>
      <xdr:nvPicPr>
        <xdr:cNvPr id="961" name="ID_2D9BF169299C40A691B2F5EC96B4F622" descr="B0FZJSG2SK_product_img"/>
        <xdr:cNvPicPr/>
      </xdr:nvPicPr>
      <xdr:blipFill>
        <a:blip r:embed="rId145"/>
        <a:stretch>
          <a:fillRect/>
        </a:stretch>
      </xdr:blipFill>
      <xdr:spPr>
        <a:xfrm>
          <a:off x="933450" y="97774125"/>
          <a:ext cx="411480" cy="411480"/>
        </a:xfrm>
        <a:prstGeom prst="rect">
          <a:avLst/>
        </a:prstGeom>
      </xdr:spPr>
    </xdr:pic>
  </etc:cellImage>
  <etc:cellImage>
    <xdr:pic>
      <xdr:nvPicPr>
        <xdr:cNvPr id="960" name="ID_65CF8691536049D3B82B46B277BC1E41" descr="B0FZJPKLLT_product_img"/>
        <xdr:cNvPicPr/>
      </xdr:nvPicPr>
      <xdr:blipFill>
        <a:blip r:embed="rId146"/>
        <a:stretch>
          <a:fillRect/>
        </a:stretch>
      </xdr:blipFill>
      <xdr:spPr>
        <a:xfrm>
          <a:off x="933450" y="162975925"/>
          <a:ext cx="411480" cy="411480"/>
        </a:xfrm>
        <a:prstGeom prst="rect">
          <a:avLst/>
        </a:prstGeom>
      </xdr:spPr>
    </xdr:pic>
  </etc:cellImage>
  <etc:cellImage>
    <xdr:pic>
      <xdr:nvPicPr>
        <xdr:cNvPr id="944" name="ID_1EC3D80C6BBB4BB8AEC8F44FBD31FFE0" descr="B0FXG227D9_product_img"/>
        <xdr:cNvPicPr/>
      </xdr:nvPicPr>
      <xdr:blipFill>
        <a:blip r:embed="rId147"/>
        <a:stretch>
          <a:fillRect/>
        </a:stretch>
      </xdr:blipFill>
      <xdr:spPr>
        <a:xfrm>
          <a:off x="933450" y="388065010"/>
          <a:ext cx="411480" cy="411480"/>
        </a:xfrm>
        <a:prstGeom prst="rect">
          <a:avLst/>
        </a:prstGeom>
      </xdr:spPr>
    </xdr:pic>
  </etc:cellImage>
  <etc:cellImage>
    <xdr:pic>
      <xdr:nvPicPr>
        <xdr:cNvPr id="942" name="ID_ACD0F2D8149E4CE595978FE464198056" descr="B0FX512KR9_product_img"/>
        <xdr:cNvPicPr/>
      </xdr:nvPicPr>
      <xdr:blipFill>
        <a:blip r:embed="rId148"/>
        <a:stretch>
          <a:fillRect/>
        </a:stretch>
      </xdr:blipFill>
      <xdr:spPr>
        <a:xfrm>
          <a:off x="933450" y="106372025"/>
          <a:ext cx="411480" cy="411480"/>
        </a:xfrm>
        <a:prstGeom prst="rect">
          <a:avLst/>
        </a:prstGeom>
      </xdr:spPr>
    </xdr:pic>
  </etc:cellImage>
  <etc:cellImage>
    <xdr:pic>
      <xdr:nvPicPr>
        <xdr:cNvPr id="939" name="ID_6858F592C877460B8AC2CD3ABEE5F157" descr="B0FX9WHBYN_product_img"/>
        <xdr:cNvPicPr/>
      </xdr:nvPicPr>
      <xdr:blipFill>
        <a:blip r:embed="rId149"/>
        <a:stretch>
          <a:fillRect/>
        </a:stretch>
      </xdr:blipFill>
      <xdr:spPr>
        <a:xfrm>
          <a:off x="933450" y="237512860"/>
          <a:ext cx="411480" cy="411480"/>
        </a:xfrm>
        <a:prstGeom prst="rect">
          <a:avLst/>
        </a:prstGeom>
      </xdr:spPr>
    </xdr:pic>
  </etc:cellImage>
  <etc:cellImage>
    <xdr:pic>
      <xdr:nvPicPr>
        <xdr:cNvPr id="938" name="ID_4AB125743571441FA5CAF4C39B1A1F28" descr="B0FX9FJT2C_product_img"/>
        <xdr:cNvPicPr/>
      </xdr:nvPicPr>
      <xdr:blipFill>
        <a:blip r:embed="rId150"/>
        <a:stretch>
          <a:fillRect/>
        </a:stretch>
      </xdr:blipFill>
      <xdr:spPr>
        <a:xfrm>
          <a:off x="933450" y="307210460"/>
          <a:ext cx="411480" cy="411480"/>
        </a:xfrm>
        <a:prstGeom prst="rect">
          <a:avLst/>
        </a:prstGeom>
      </xdr:spPr>
    </xdr:pic>
  </etc:cellImage>
  <etc:cellImage>
    <xdr:pic>
      <xdr:nvPicPr>
        <xdr:cNvPr id="937" name="ID_BA4E51F347054049BF6F210A326DD1D6" descr="B0FX8FJJW3_product_img"/>
        <xdr:cNvPicPr/>
      </xdr:nvPicPr>
      <xdr:blipFill>
        <a:blip r:embed="rId151"/>
        <a:stretch>
          <a:fillRect/>
        </a:stretch>
      </xdr:blipFill>
      <xdr:spPr>
        <a:xfrm>
          <a:off x="933450" y="99602925"/>
          <a:ext cx="411480" cy="411480"/>
        </a:xfrm>
        <a:prstGeom prst="rect">
          <a:avLst/>
        </a:prstGeom>
      </xdr:spPr>
    </xdr:pic>
  </etc:cellImage>
  <etc:cellImage>
    <xdr:pic>
      <xdr:nvPicPr>
        <xdr:cNvPr id="936" name="ID_761862B928BA41199D9D0408EA6CB345" descr="B0FX8F8VM5_product_img"/>
        <xdr:cNvPicPr/>
      </xdr:nvPicPr>
      <xdr:blipFill>
        <a:blip r:embed="rId152"/>
        <a:stretch>
          <a:fillRect/>
        </a:stretch>
      </xdr:blipFill>
      <xdr:spPr>
        <a:xfrm>
          <a:off x="933450" y="68506975"/>
          <a:ext cx="411480" cy="411480"/>
        </a:xfrm>
        <a:prstGeom prst="rect">
          <a:avLst/>
        </a:prstGeom>
      </xdr:spPr>
    </xdr:pic>
  </etc:cellImage>
  <etc:cellImage>
    <xdr:pic>
      <xdr:nvPicPr>
        <xdr:cNvPr id="935" name="ID_0A7BD7DE67DD4C26A36D9490187278CF" descr="B0FX8CPCV4_product_img"/>
        <xdr:cNvPicPr/>
      </xdr:nvPicPr>
      <xdr:blipFill>
        <a:blip r:embed="rId153"/>
        <a:stretch>
          <a:fillRect/>
        </a:stretch>
      </xdr:blipFill>
      <xdr:spPr>
        <a:xfrm>
          <a:off x="933450" y="378095510"/>
          <a:ext cx="411480" cy="411480"/>
        </a:xfrm>
        <a:prstGeom prst="rect">
          <a:avLst/>
        </a:prstGeom>
      </xdr:spPr>
    </xdr:pic>
  </etc:cellImage>
  <etc:cellImage>
    <xdr:pic>
      <xdr:nvPicPr>
        <xdr:cNvPr id="929" name="ID_F4B1510202A64783A7C96EBBD1EEFD7B" descr="B0FWJ9NBN7_product_img"/>
        <xdr:cNvPicPr/>
      </xdr:nvPicPr>
      <xdr:blipFill>
        <a:blip r:embed="rId154"/>
        <a:stretch>
          <a:fillRect/>
        </a:stretch>
      </xdr:blipFill>
      <xdr:spPr>
        <a:xfrm>
          <a:off x="933450" y="303552860"/>
          <a:ext cx="411480" cy="411480"/>
        </a:xfrm>
        <a:prstGeom prst="rect">
          <a:avLst/>
        </a:prstGeom>
      </xdr:spPr>
    </xdr:pic>
  </etc:cellImage>
  <etc:cellImage>
    <xdr:pic>
      <xdr:nvPicPr>
        <xdr:cNvPr id="928" name="ID_31CA24252762499E886E14A5FE1E103B" descr="B0FWBRSD19_product_img"/>
        <xdr:cNvPicPr/>
      </xdr:nvPicPr>
      <xdr:blipFill>
        <a:blip r:embed="rId155"/>
        <a:stretch>
          <a:fillRect/>
        </a:stretch>
      </xdr:blipFill>
      <xdr:spPr>
        <a:xfrm>
          <a:off x="933450" y="102073075"/>
          <a:ext cx="411480" cy="411480"/>
        </a:xfrm>
        <a:prstGeom prst="rect">
          <a:avLst/>
        </a:prstGeom>
      </xdr:spPr>
    </xdr:pic>
  </etc:cellImage>
  <etc:cellImage>
    <xdr:pic>
      <xdr:nvPicPr>
        <xdr:cNvPr id="927" name="ID_A99B81BAB3B74F6B8FD5883F215ED00E" descr="B0FW4ZZQZX_product_img"/>
        <xdr:cNvPicPr/>
      </xdr:nvPicPr>
      <xdr:blipFill>
        <a:blip r:embed="rId156"/>
        <a:stretch>
          <a:fillRect/>
        </a:stretch>
      </xdr:blipFill>
      <xdr:spPr>
        <a:xfrm>
          <a:off x="933450" y="323764910"/>
          <a:ext cx="411480" cy="411480"/>
        </a:xfrm>
        <a:prstGeom prst="rect">
          <a:avLst/>
        </a:prstGeom>
      </xdr:spPr>
    </xdr:pic>
  </etc:cellImage>
  <etc:cellImage>
    <xdr:pic>
      <xdr:nvPicPr>
        <xdr:cNvPr id="925" name="ID_586BAF8207804695BDE8E1D666A5333E" descr="B0FVY6P61B_product_img"/>
        <xdr:cNvPicPr/>
      </xdr:nvPicPr>
      <xdr:blipFill>
        <a:blip r:embed="rId157"/>
        <a:stretch>
          <a:fillRect/>
        </a:stretch>
      </xdr:blipFill>
      <xdr:spPr>
        <a:xfrm>
          <a:off x="933450" y="85334475"/>
          <a:ext cx="411480" cy="411480"/>
        </a:xfrm>
        <a:prstGeom prst="rect">
          <a:avLst/>
        </a:prstGeom>
      </xdr:spPr>
    </xdr:pic>
  </etc:cellImage>
  <etc:cellImage>
    <xdr:pic>
      <xdr:nvPicPr>
        <xdr:cNvPr id="915" name="ID_82DF18F3FD654115BCFFBEA36B055A77" descr="B0FV7KYZT4_product_img"/>
        <xdr:cNvPicPr/>
      </xdr:nvPicPr>
      <xdr:blipFill>
        <a:blip r:embed="rId158"/>
        <a:stretch>
          <a:fillRect/>
        </a:stretch>
      </xdr:blipFill>
      <xdr:spPr>
        <a:xfrm>
          <a:off x="933450" y="228368225"/>
          <a:ext cx="411480" cy="411480"/>
        </a:xfrm>
        <a:prstGeom prst="rect">
          <a:avLst/>
        </a:prstGeom>
      </xdr:spPr>
    </xdr:pic>
  </etc:cellImage>
  <etc:cellImage>
    <xdr:pic>
      <xdr:nvPicPr>
        <xdr:cNvPr id="913" name="ID_86AC0C62CFAD4B349A2F6D4CD46C7CB1" descr="B0FV3NBRCB_product_img"/>
        <xdr:cNvPicPr/>
      </xdr:nvPicPr>
      <xdr:blipFill>
        <a:blip r:embed="rId159"/>
        <a:stretch>
          <a:fillRect/>
        </a:stretch>
      </xdr:blipFill>
      <xdr:spPr>
        <a:xfrm>
          <a:off x="933450" y="115058825"/>
          <a:ext cx="411480" cy="411480"/>
        </a:xfrm>
        <a:prstGeom prst="rect">
          <a:avLst/>
        </a:prstGeom>
      </xdr:spPr>
    </xdr:pic>
  </etc:cellImage>
  <etc:cellImage>
    <xdr:pic>
      <xdr:nvPicPr>
        <xdr:cNvPr id="912" name="ID_68881F82D6024C13914FA3C6AA99CA13" descr="B0FTMNKTS6_product_img"/>
        <xdr:cNvPicPr/>
      </xdr:nvPicPr>
      <xdr:blipFill>
        <a:blip r:embed="rId160"/>
        <a:stretch>
          <a:fillRect/>
        </a:stretch>
      </xdr:blipFill>
      <xdr:spPr>
        <a:xfrm>
          <a:off x="933450" y="414766760"/>
          <a:ext cx="411480" cy="411480"/>
        </a:xfrm>
        <a:prstGeom prst="rect">
          <a:avLst/>
        </a:prstGeom>
      </xdr:spPr>
    </xdr:pic>
  </etc:cellImage>
  <etc:cellImage>
    <xdr:pic>
      <xdr:nvPicPr>
        <xdr:cNvPr id="906" name="ID_49976A81004549758BFF54C546505A63" descr="B0FSZXZC1D_product_img"/>
        <xdr:cNvPicPr/>
      </xdr:nvPicPr>
      <xdr:blipFill>
        <a:blip r:embed="rId161"/>
        <a:stretch>
          <a:fillRect/>
        </a:stretch>
      </xdr:blipFill>
      <xdr:spPr>
        <a:xfrm>
          <a:off x="933450" y="466531960"/>
          <a:ext cx="411480" cy="411480"/>
        </a:xfrm>
        <a:prstGeom prst="rect">
          <a:avLst/>
        </a:prstGeom>
      </xdr:spPr>
    </xdr:pic>
  </etc:cellImage>
  <etc:cellImage>
    <xdr:pic>
      <xdr:nvPicPr>
        <xdr:cNvPr id="905" name="ID_FE5B16BDCFC64877810A2D72348CE39C" descr="B0FSZLQRRD_product_img"/>
        <xdr:cNvPicPr/>
      </xdr:nvPicPr>
      <xdr:blipFill>
        <a:blip r:embed="rId162"/>
        <a:stretch>
          <a:fillRect/>
        </a:stretch>
      </xdr:blipFill>
      <xdr:spPr>
        <a:xfrm>
          <a:off x="933450" y="340776560"/>
          <a:ext cx="411480" cy="411480"/>
        </a:xfrm>
        <a:prstGeom prst="rect">
          <a:avLst/>
        </a:prstGeom>
      </xdr:spPr>
    </xdr:pic>
  </etc:cellImage>
  <etc:cellImage>
    <xdr:pic>
      <xdr:nvPicPr>
        <xdr:cNvPr id="904" name="ID_DC6BC935D5D741989F4D7DF24E593DDF" descr="B0FSZHPC99_product_img"/>
        <xdr:cNvPicPr/>
      </xdr:nvPicPr>
      <xdr:blipFill>
        <a:blip r:embed="rId163"/>
        <a:stretch>
          <a:fillRect/>
        </a:stretch>
      </xdr:blipFill>
      <xdr:spPr>
        <a:xfrm>
          <a:off x="933450" y="336750660"/>
          <a:ext cx="411480" cy="411480"/>
        </a:xfrm>
        <a:prstGeom prst="rect">
          <a:avLst/>
        </a:prstGeom>
      </xdr:spPr>
    </xdr:pic>
  </etc:cellImage>
  <etc:cellImage>
    <xdr:pic>
      <xdr:nvPicPr>
        <xdr:cNvPr id="900" name="ID_17CF19DF42CC4FF29E1241E775188BAE" descr="B0FSS6RWPL_product_img"/>
        <xdr:cNvPicPr/>
      </xdr:nvPicPr>
      <xdr:blipFill>
        <a:blip r:embed="rId164"/>
        <a:stretch>
          <a:fillRect/>
        </a:stretch>
      </xdr:blipFill>
      <xdr:spPr>
        <a:xfrm>
          <a:off x="933450" y="67592575"/>
          <a:ext cx="411480" cy="411480"/>
        </a:xfrm>
        <a:prstGeom prst="rect">
          <a:avLst/>
        </a:prstGeom>
      </xdr:spPr>
    </xdr:pic>
  </etc:cellImage>
  <etc:cellImage>
    <xdr:pic>
      <xdr:nvPicPr>
        <xdr:cNvPr id="897" name="ID_F626F07AD01B4CDF9E50607278D2E6E7" descr="B0FSC6TX6X_product_img"/>
        <xdr:cNvPicPr/>
      </xdr:nvPicPr>
      <xdr:blipFill>
        <a:blip r:embed="rId165"/>
        <a:stretch>
          <a:fillRect/>
        </a:stretch>
      </xdr:blipFill>
      <xdr:spPr>
        <a:xfrm>
          <a:off x="933450" y="473574110"/>
          <a:ext cx="411480" cy="411480"/>
        </a:xfrm>
        <a:prstGeom prst="rect">
          <a:avLst/>
        </a:prstGeom>
      </xdr:spPr>
    </xdr:pic>
  </etc:cellImage>
  <etc:cellImage>
    <xdr:pic>
      <xdr:nvPicPr>
        <xdr:cNvPr id="894" name="ID_9D48B99A258A4DD1A15809E560857683" descr="B0FS7ZC64N_product_img"/>
        <xdr:cNvPicPr/>
      </xdr:nvPicPr>
      <xdr:blipFill>
        <a:blip r:embed="rId166"/>
        <a:stretch>
          <a:fillRect/>
        </a:stretch>
      </xdr:blipFill>
      <xdr:spPr>
        <a:xfrm>
          <a:off x="933450" y="94846775"/>
          <a:ext cx="411480" cy="411480"/>
        </a:xfrm>
        <a:prstGeom prst="rect">
          <a:avLst/>
        </a:prstGeom>
      </xdr:spPr>
    </xdr:pic>
  </etc:cellImage>
  <etc:cellImage>
    <xdr:pic>
      <xdr:nvPicPr>
        <xdr:cNvPr id="893" name="ID_FAF27247DF4944C185AAA91C4DB13621" descr="B0FS1Z1LTN_product_img"/>
        <xdr:cNvPicPr/>
      </xdr:nvPicPr>
      <xdr:blipFill>
        <a:blip r:embed="rId167"/>
        <a:stretch>
          <a:fillRect/>
        </a:stretch>
      </xdr:blipFill>
      <xdr:spPr>
        <a:xfrm>
          <a:off x="933450" y="222513525"/>
          <a:ext cx="411480" cy="411480"/>
        </a:xfrm>
        <a:prstGeom prst="rect">
          <a:avLst/>
        </a:prstGeom>
      </xdr:spPr>
    </xdr:pic>
  </etc:cellImage>
  <etc:cellImage>
    <xdr:pic>
      <xdr:nvPicPr>
        <xdr:cNvPr id="887" name="ID_81E0F19799CC4D93A0811D5C2AA9D554" descr="B0FRSDNML7_product_img"/>
        <xdr:cNvPicPr/>
      </xdr:nvPicPr>
      <xdr:blipFill>
        <a:blip r:embed="rId168"/>
        <a:stretch>
          <a:fillRect/>
        </a:stretch>
      </xdr:blipFill>
      <xdr:spPr>
        <a:xfrm>
          <a:off x="933450" y="482902260"/>
          <a:ext cx="411480" cy="411480"/>
        </a:xfrm>
        <a:prstGeom prst="rect">
          <a:avLst/>
        </a:prstGeom>
      </xdr:spPr>
    </xdr:pic>
  </etc:cellImage>
  <etc:cellImage>
    <xdr:pic>
      <xdr:nvPicPr>
        <xdr:cNvPr id="882" name="ID_C4F1D1A953F04E03882A30469C56A6BA" descr="B0FRQKBHHG_product_img"/>
        <xdr:cNvPicPr/>
      </xdr:nvPicPr>
      <xdr:blipFill>
        <a:blip r:embed="rId169"/>
        <a:stretch>
          <a:fillRect/>
        </a:stretch>
      </xdr:blipFill>
      <xdr:spPr>
        <a:xfrm>
          <a:off x="933450" y="501558560"/>
          <a:ext cx="411480" cy="411480"/>
        </a:xfrm>
        <a:prstGeom prst="rect">
          <a:avLst/>
        </a:prstGeom>
      </xdr:spPr>
    </xdr:pic>
  </etc:cellImage>
  <etc:cellImage>
    <xdr:pic>
      <xdr:nvPicPr>
        <xdr:cNvPr id="878" name="ID_7279C7FDDF014112A78D5AC2BC34A927" descr="B0FRFLR4PW_product_img"/>
        <xdr:cNvPicPr/>
      </xdr:nvPicPr>
      <xdr:blipFill>
        <a:blip r:embed="rId170"/>
        <a:stretch>
          <a:fillRect/>
        </a:stretch>
      </xdr:blipFill>
      <xdr:spPr>
        <a:xfrm>
          <a:off x="933450" y="103628825"/>
          <a:ext cx="411480" cy="411480"/>
        </a:xfrm>
        <a:prstGeom prst="rect">
          <a:avLst/>
        </a:prstGeom>
      </xdr:spPr>
    </xdr:pic>
  </etc:cellImage>
  <etc:cellImage>
    <xdr:pic>
      <xdr:nvPicPr>
        <xdr:cNvPr id="877" name="ID_99AFD1097DFE4EBD8DA00507AE221DFF" descr="B0FRF5Z13Z_product_img"/>
        <xdr:cNvPicPr/>
      </xdr:nvPicPr>
      <xdr:blipFill>
        <a:blip r:embed="rId171"/>
        <a:stretch>
          <a:fillRect/>
        </a:stretch>
      </xdr:blipFill>
      <xdr:spPr>
        <a:xfrm>
          <a:off x="933450" y="320564510"/>
          <a:ext cx="411480" cy="411480"/>
        </a:xfrm>
        <a:prstGeom prst="rect">
          <a:avLst/>
        </a:prstGeom>
      </xdr:spPr>
    </xdr:pic>
  </etc:cellImage>
  <etc:cellImage>
    <xdr:pic>
      <xdr:nvPicPr>
        <xdr:cNvPr id="871" name="ID_81FA22230A194C0CBAFEAFBB1675DD00" descr="B0FR4N9XQB_product_img"/>
        <xdr:cNvPicPr/>
      </xdr:nvPicPr>
      <xdr:blipFill>
        <a:blip r:embed="rId172"/>
        <a:stretch>
          <a:fillRect/>
        </a:stretch>
      </xdr:blipFill>
      <xdr:spPr>
        <a:xfrm>
          <a:off x="933450" y="136915525"/>
          <a:ext cx="411480" cy="411480"/>
        </a:xfrm>
        <a:prstGeom prst="rect">
          <a:avLst/>
        </a:prstGeom>
      </xdr:spPr>
    </xdr:pic>
  </etc:cellImage>
  <etc:cellImage>
    <xdr:pic>
      <xdr:nvPicPr>
        <xdr:cNvPr id="864" name="ID_A62942F055B6413293E1D85D799E8E9D" descr="B0FQMCY76G_product_img"/>
        <xdr:cNvPicPr/>
      </xdr:nvPicPr>
      <xdr:blipFill>
        <a:blip r:embed="rId173"/>
        <a:stretch>
          <a:fillRect/>
        </a:stretch>
      </xdr:blipFill>
      <xdr:spPr>
        <a:xfrm>
          <a:off x="933450" y="168919525"/>
          <a:ext cx="411480" cy="411480"/>
        </a:xfrm>
        <a:prstGeom prst="rect">
          <a:avLst/>
        </a:prstGeom>
      </xdr:spPr>
    </xdr:pic>
  </etc:cellImage>
  <etc:cellImage>
    <xdr:pic>
      <xdr:nvPicPr>
        <xdr:cNvPr id="863" name="ID_C15C87F528F94D5CAD91E98C27B34A1E" descr="B0FQK23116_product_img"/>
        <xdr:cNvPicPr/>
      </xdr:nvPicPr>
      <xdr:blipFill>
        <a:blip r:embed="rId174"/>
        <a:stretch>
          <a:fillRect/>
        </a:stretch>
      </xdr:blipFill>
      <xdr:spPr>
        <a:xfrm>
          <a:off x="933450" y="386693410"/>
          <a:ext cx="411480" cy="411480"/>
        </a:xfrm>
        <a:prstGeom prst="rect">
          <a:avLst/>
        </a:prstGeom>
      </xdr:spPr>
    </xdr:pic>
  </etc:cellImage>
  <etc:cellImage>
    <xdr:pic>
      <xdr:nvPicPr>
        <xdr:cNvPr id="859" name="ID_B78DE1233931496DB6A17C8ADEAC9172" descr="B0FQBGQQSK_product_img"/>
        <xdr:cNvPicPr/>
      </xdr:nvPicPr>
      <xdr:blipFill>
        <a:blip r:embed="rId175"/>
        <a:stretch>
          <a:fillRect/>
        </a:stretch>
      </xdr:blipFill>
      <xdr:spPr>
        <a:xfrm>
          <a:off x="933450" y="440192160"/>
          <a:ext cx="411480" cy="411480"/>
        </a:xfrm>
        <a:prstGeom prst="rect">
          <a:avLst/>
        </a:prstGeom>
      </xdr:spPr>
    </xdr:pic>
  </etc:cellImage>
  <etc:cellImage>
    <xdr:pic>
      <xdr:nvPicPr>
        <xdr:cNvPr id="850" name="ID_D952B7B2251545C09C909477443F2318" descr="B0FPQDYYVP_product_img"/>
        <xdr:cNvPicPr/>
      </xdr:nvPicPr>
      <xdr:blipFill>
        <a:blip r:embed="rId176"/>
        <a:stretch>
          <a:fillRect/>
        </a:stretch>
      </xdr:blipFill>
      <xdr:spPr>
        <a:xfrm>
          <a:off x="933450" y="206232125"/>
          <a:ext cx="411480" cy="411480"/>
        </a:xfrm>
        <a:prstGeom prst="rect">
          <a:avLst/>
        </a:prstGeom>
      </xdr:spPr>
    </xdr:pic>
  </etc:cellImage>
  <etc:cellImage>
    <xdr:pic>
      <xdr:nvPicPr>
        <xdr:cNvPr id="847" name="ID_965446AF06224FFDB853F4DF0E8E2D1A" descr="B0FPM8QRHY_product_img"/>
        <xdr:cNvPicPr/>
      </xdr:nvPicPr>
      <xdr:blipFill>
        <a:blip r:embed="rId177"/>
        <a:stretch>
          <a:fillRect/>
        </a:stretch>
      </xdr:blipFill>
      <xdr:spPr>
        <a:xfrm>
          <a:off x="933450" y="66678175"/>
          <a:ext cx="411480" cy="411480"/>
        </a:xfrm>
        <a:prstGeom prst="rect">
          <a:avLst/>
        </a:prstGeom>
      </xdr:spPr>
    </xdr:pic>
  </etc:cellImage>
  <etc:cellImage>
    <xdr:pic>
      <xdr:nvPicPr>
        <xdr:cNvPr id="846" name="ID_A7F945D7A3D14BAF943BF16794430251" descr="B0FPM6N8R1_product_img"/>
        <xdr:cNvPicPr/>
      </xdr:nvPicPr>
      <xdr:blipFill>
        <a:blip r:embed="rId178"/>
        <a:stretch>
          <a:fillRect/>
        </a:stretch>
      </xdr:blipFill>
      <xdr:spPr>
        <a:xfrm>
          <a:off x="933450" y="211356575"/>
          <a:ext cx="411480" cy="411480"/>
        </a:xfrm>
        <a:prstGeom prst="rect">
          <a:avLst/>
        </a:prstGeom>
      </xdr:spPr>
    </xdr:pic>
  </etc:cellImage>
  <etc:cellImage>
    <xdr:pic>
      <xdr:nvPicPr>
        <xdr:cNvPr id="841" name="ID_4A27653F2FB64E11A76688B0176CD79F" descr="B0FPG8D7WJ_product_img"/>
        <xdr:cNvPicPr/>
      </xdr:nvPicPr>
      <xdr:blipFill>
        <a:blip r:embed="rId179"/>
        <a:stretch>
          <a:fillRect/>
        </a:stretch>
      </xdr:blipFill>
      <xdr:spPr>
        <a:xfrm>
          <a:off x="933450" y="161147125"/>
          <a:ext cx="411480" cy="411480"/>
        </a:xfrm>
        <a:prstGeom prst="rect">
          <a:avLst/>
        </a:prstGeom>
      </xdr:spPr>
    </xdr:pic>
  </etc:cellImage>
  <etc:cellImage>
    <xdr:pic>
      <xdr:nvPicPr>
        <xdr:cNvPr id="836" name="ID_5EE3581109634EFAAED84C7C5B7E7035" descr="B0FP51W3DJ_product_img"/>
        <xdr:cNvPicPr/>
      </xdr:nvPicPr>
      <xdr:blipFill>
        <a:blip r:embed="rId180"/>
        <a:stretch>
          <a:fillRect/>
        </a:stretch>
      </xdr:blipFill>
      <xdr:spPr>
        <a:xfrm>
          <a:off x="933450" y="444306960"/>
          <a:ext cx="411480" cy="411480"/>
        </a:xfrm>
        <a:prstGeom prst="rect">
          <a:avLst/>
        </a:prstGeom>
      </xdr:spPr>
    </xdr:pic>
  </etc:cellImage>
  <etc:cellImage>
    <xdr:pic>
      <xdr:nvPicPr>
        <xdr:cNvPr id="831" name="ID_483240C9F01F4A9C9D45D502AAA4FD9D" descr="B0FP1C7FDS_product_img"/>
        <xdr:cNvPicPr/>
      </xdr:nvPicPr>
      <xdr:blipFill>
        <a:blip r:embed="rId181"/>
        <a:stretch>
          <a:fillRect/>
        </a:stretch>
      </xdr:blipFill>
      <xdr:spPr>
        <a:xfrm>
          <a:off x="933450" y="368767360"/>
          <a:ext cx="411480" cy="411480"/>
        </a:xfrm>
        <a:prstGeom prst="rect">
          <a:avLst/>
        </a:prstGeom>
      </xdr:spPr>
    </xdr:pic>
  </etc:cellImage>
  <etc:cellImage>
    <xdr:pic>
      <xdr:nvPicPr>
        <xdr:cNvPr id="828" name="ID_8D0D1E606A5045C784DD5A276B2FF883" descr="B0FNWRJQFX_product_img"/>
        <xdr:cNvPicPr/>
      </xdr:nvPicPr>
      <xdr:blipFill>
        <a:blip r:embed="rId182"/>
        <a:stretch>
          <a:fillRect/>
        </a:stretch>
      </xdr:blipFill>
      <xdr:spPr>
        <a:xfrm>
          <a:off x="933450" y="246294910"/>
          <a:ext cx="411480" cy="411480"/>
        </a:xfrm>
        <a:prstGeom prst="rect">
          <a:avLst/>
        </a:prstGeom>
      </xdr:spPr>
    </xdr:pic>
  </etc:cellImage>
  <etc:cellImage>
    <xdr:pic>
      <xdr:nvPicPr>
        <xdr:cNvPr id="826" name="ID_48B8F9669D9D41EBBA99A18BDFAEFCFD" descr="B0FNVDK1V1_product_img"/>
        <xdr:cNvPicPr/>
      </xdr:nvPicPr>
      <xdr:blipFill>
        <a:blip r:embed="rId183"/>
        <a:stretch>
          <a:fillRect/>
        </a:stretch>
      </xdr:blipFill>
      <xdr:spPr>
        <a:xfrm>
          <a:off x="933450" y="396751810"/>
          <a:ext cx="411480" cy="411480"/>
        </a:xfrm>
        <a:prstGeom prst="rect">
          <a:avLst/>
        </a:prstGeom>
      </xdr:spPr>
    </xdr:pic>
  </etc:cellImage>
  <etc:cellImage>
    <xdr:pic>
      <xdr:nvPicPr>
        <xdr:cNvPr id="821" name="ID_CC8723C3502E4D76837EC910AA6354E3" descr="B0FNQ7DZDX_product_img"/>
        <xdr:cNvPicPr/>
      </xdr:nvPicPr>
      <xdr:blipFill>
        <a:blip r:embed="rId184"/>
        <a:stretch>
          <a:fillRect/>
        </a:stretch>
      </xdr:blipFill>
      <xdr:spPr>
        <a:xfrm>
          <a:off x="933450" y="387150610"/>
          <a:ext cx="411480" cy="411480"/>
        </a:xfrm>
        <a:prstGeom prst="rect">
          <a:avLst/>
        </a:prstGeom>
      </xdr:spPr>
    </xdr:pic>
  </etc:cellImage>
  <etc:cellImage>
    <xdr:pic>
      <xdr:nvPicPr>
        <xdr:cNvPr id="816" name="ID_610E206A41254593B5CCDFE711A9E958" descr="B0FNCV5LS8_product_img"/>
        <xdr:cNvPicPr/>
      </xdr:nvPicPr>
      <xdr:blipFill>
        <a:blip r:embed="rId185"/>
        <a:stretch>
          <a:fillRect/>
        </a:stretch>
      </xdr:blipFill>
      <xdr:spPr>
        <a:xfrm>
          <a:off x="933450" y="373980710"/>
          <a:ext cx="411480" cy="411480"/>
        </a:xfrm>
        <a:prstGeom prst="rect">
          <a:avLst/>
        </a:prstGeom>
      </xdr:spPr>
    </xdr:pic>
  </etc:cellImage>
  <etc:cellImage>
    <xdr:pic>
      <xdr:nvPicPr>
        <xdr:cNvPr id="815" name="ID_810D5952619940F1A840E0C5BE69F304" descr="B0FNCGBMSP_product_img"/>
        <xdr:cNvPicPr/>
      </xdr:nvPicPr>
      <xdr:blipFill>
        <a:blip r:embed="rId186"/>
        <a:stretch>
          <a:fillRect/>
        </a:stretch>
      </xdr:blipFill>
      <xdr:spPr>
        <a:xfrm>
          <a:off x="933450" y="124386975"/>
          <a:ext cx="411480" cy="411480"/>
        </a:xfrm>
        <a:prstGeom prst="rect">
          <a:avLst/>
        </a:prstGeom>
      </xdr:spPr>
    </xdr:pic>
  </etc:cellImage>
  <etc:cellImage>
    <xdr:pic>
      <xdr:nvPicPr>
        <xdr:cNvPr id="813" name="ID_F1D3FDE88AE346A0A66446834CBDA9C5" descr="B0FMXZVJD8_product_img"/>
        <xdr:cNvPicPr/>
      </xdr:nvPicPr>
      <xdr:blipFill>
        <a:blip r:embed="rId187"/>
        <a:stretch>
          <a:fillRect/>
        </a:stretch>
      </xdr:blipFill>
      <xdr:spPr>
        <a:xfrm>
          <a:off x="933450" y="498174010"/>
          <a:ext cx="411480" cy="411480"/>
        </a:xfrm>
        <a:prstGeom prst="rect">
          <a:avLst/>
        </a:prstGeom>
      </xdr:spPr>
    </xdr:pic>
  </etc:cellImage>
  <etc:cellImage>
    <xdr:pic>
      <xdr:nvPicPr>
        <xdr:cNvPr id="809" name="ID_A1C837F5537F40F5ACA0F736280E033F" descr="B0FMK9D1CS_product_img"/>
        <xdr:cNvPicPr/>
      </xdr:nvPicPr>
      <xdr:blipFill>
        <a:blip r:embed="rId188"/>
        <a:stretch>
          <a:fillRect/>
        </a:stretch>
      </xdr:blipFill>
      <xdr:spPr>
        <a:xfrm>
          <a:off x="933450" y="392637010"/>
          <a:ext cx="411480" cy="411480"/>
        </a:xfrm>
        <a:prstGeom prst="rect">
          <a:avLst/>
        </a:prstGeom>
      </xdr:spPr>
    </xdr:pic>
  </etc:cellImage>
  <etc:cellImage>
    <xdr:pic>
      <xdr:nvPicPr>
        <xdr:cNvPr id="806" name="ID_337BF9F933954B16BE61BA2DC137BD82" descr="B0FMFJ63RT_product_img"/>
        <xdr:cNvPicPr/>
      </xdr:nvPicPr>
      <xdr:blipFill>
        <a:blip r:embed="rId189"/>
        <a:stretch>
          <a:fillRect/>
        </a:stretch>
      </xdr:blipFill>
      <xdr:spPr>
        <a:xfrm>
          <a:off x="933450" y="70792975"/>
          <a:ext cx="411480" cy="411480"/>
        </a:xfrm>
        <a:prstGeom prst="rect">
          <a:avLst/>
        </a:prstGeom>
      </xdr:spPr>
    </xdr:pic>
  </etc:cellImage>
  <etc:cellImage>
    <xdr:pic>
      <xdr:nvPicPr>
        <xdr:cNvPr id="792" name="ID_AA6AAFFE59D342DB9181131E561E28C1" descr="B0FLPR41FR_product_img"/>
        <xdr:cNvPicPr/>
      </xdr:nvPicPr>
      <xdr:blipFill>
        <a:blip r:embed="rId190"/>
        <a:stretch>
          <a:fillRect/>
        </a:stretch>
      </xdr:blipFill>
      <xdr:spPr>
        <a:xfrm>
          <a:off x="933450" y="313979560"/>
          <a:ext cx="411480" cy="411480"/>
        </a:xfrm>
        <a:prstGeom prst="rect">
          <a:avLst/>
        </a:prstGeom>
      </xdr:spPr>
    </xdr:pic>
  </etc:cellImage>
  <etc:cellImage>
    <xdr:pic>
      <xdr:nvPicPr>
        <xdr:cNvPr id="789" name="ID_40D99DBEAA4C42E586D81B0FEA0FF08F" descr="B0FLP1TZW7_product_img"/>
        <xdr:cNvPicPr/>
      </xdr:nvPicPr>
      <xdr:blipFill>
        <a:blip r:embed="rId191"/>
        <a:stretch>
          <a:fillRect/>
        </a:stretch>
      </xdr:blipFill>
      <xdr:spPr>
        <a:xfrm>
          <a:off x="933450" y="434978810"/>
          <a:ext cx="411480" cy="411480"/>
        </a:xfrm>
        <a:prstGeom prst="rect">
          <a:avLst/>
        </a:prstGeom>
      </xdr:spPr>
    </xdr:pic>
  </etc:cellImage>
  <etc:cellImage>
    <xdr:pic>
      <xdr:nvPicPr>
        <xdr:cNvPr id="787" name="ID_F3B86F661BFF481A80F9FFE374CF1934" descr="B0FLK5M2ST_product_img"/>
        <xdr:cNvPicPr/>
      </xdr:nvPicPr>
      <xdr:blipFill>
        <a:blip r:embed="rId192"/>
        <a:stretch>
          <a:fillRect/>
        </a:stretch>
      </xdr:blipFill>
      <xdr:spPr>
        <a:xfrm>
          <a:off x="933450" y="111858425"/>
          <a:ext cx="411480" cy="411480"/>
        </a:xfrm>
        <a:prstGeom prst="rect">
          <a:avLst/>
        </a:prstGeom>
      </xdr:spPr>
    </xdr:pic>
  </etc:cellImage>
  <etc:cellImage>
    <xdr:pic>
      <xdr:nvPicPr>
        <xdr:cNvPr id="786" name="ID_AC1DEAB250E64CCA8ACF872F5768AC93" descr="B0FLK4J6Q2_product_img"/>
        <xdr:cNvPicPr/>
      </xdr:nvPicPr>
      <xdr:blipFill>
        <a:blip r:embed="rId193"/>
        <a:stretch>
          <a:fillRect/>
        </a:stretch>
      </xdr:blipFill>
      <xdr:spPr>
        <a:xfrm>
          <a:off x="933450" y="370596160"/>
          <a:ext cx="411480" cy="411480"/>
        </a:xfrm>
        <a:prstGeom prst="rect">
          <a:avLst/>
        </a:prstGeom>
      </xdr:spPr>
    </xdr:pic>
  </etc:cellImage>
  <etc:cellImage>
    <xdr:pic>
      <xdr:nvPicPr>
        <xdr:cNvPr id="783" name="ID_57154BA12CDB42BAA69E1268D433AC79" descr="B0FLJJ45VS_product_img"/>
        <xdr:cNvPicPr/>
      </xdr:nvPicPr>
      <xdr:blipFill>
        <a:blip r:embed="rId194"/>
        <a:stretch>
          <a:fillRect/>
        </a:stretch>
      </xdr:blipFill>
      <xdr:spPr>
        <a:xfrm>
          <a:off x="933450" y="186388375"/>
          <a:ext cx="411480" cy="411480"/>
        </a:xfrm>
        <a:prstGeom prst="rect">
          <a:avLst/>
        </a:prstGeom>
      </xdr:spPr>
    </xdr:pic>
  </etc:cellImage>
  <etc:cellImage>
    <xdr:pic>
      <xdr:nvPicPr>
        <xdr:cNvPr id="782" name="ID_7E9D194A541B492A8B0F954618619A92" descr="B0FLJJ2QJL_product_img"/>
        <xdr:cNvPicPr/>
      </xdr:nvPicPr>
      <xdr:blipFill>
        <a:blip r:embed="rId195"/>
        <a:stretch>
          <a:fillRect/>
        </a:stretch>
      </xdr:blipFill>
      <xdr:spPr>
        <a:xfrm>
          <a:off x="933450" y="176234725"/>
          <a:ext cx="411480" cy="411480"/>
        </a:xfrm>
        <a:prstGeom prst="rect">
          <a:avLst/>
        </a:prstGeom>
      </xdr:spPr>
    </xdr:pic>
  </etc:cellImage>
  <etc:cellImage>
    <xdr:pic>
      <xdr:nvPicPr>
        <xdr:cNvPr id="781" name="ID_309BC912FBEA428D907661AF7D115959" descr="B0FLJHD6D8_product_img"/>
        <xdr:cNvPicPr/>
      </xdr:nvPicPr>
      <xdr:blipFill>
        <a:blip r:embed="rId196"/>
        <a:stretch>
          <a:fillRect/>
        </a:stretch>
      </xdr:blipFill>
      <xdr:spPr>
        <a:xfrm>
          <a:off x="933450" y="184102375"/>
          <a:ext cx="411480" cy="411480"/>
        </a:xfrm>
        <a:prstGeom prst="rect">
          <a:avLst/>
        </a:prstGeom>
      </xdr:spPr>
    </xdr:pic>
  </etc:cellImage>
  <etc:cellImage>
    <xdr:pic>
      <xdr:nvPicPr>
        <xdr:cNvPr id="780" name="ID_9FB6FD2D5AA74164AF7AC918D2C6D33D" descr="B0FLDP8Y5W_product_img"/>
        <xdr:cNvPicPr/>
      </xdr:nvPicPr>
      <xdr:blipFill>
        <a:blip r:embed="rId197"/>
        <a:stretch>
          <a:fillRect/>
        </a:stretch>
      </xdr:blipFill>
      <xdr:spPr>
        <a:xfrm>
          <a:off x="933450" y="84877275"/>
          <a:ext cx="411480" cy="411480"/>
        </a:xfrm>
        <a:prstGeom prst="rect">
          <a:avLst/>
        </a:prstGeom>
      </xdr:spPr>
    </xdr:pic>
  </etc:cellImage>
  <etc:cellImage>
    <xdr:pic>
      <xdr:nvPicPr>
        <xdr:cNvPr id="777" name="ID_7720304579504952B50E8115366CA94B" descr="B0FL8LTY8Q_product_img"/>
        <xdr:cNvPicPr/>
      </xdr:nvPicPr>
      <xdr:blipFill>
        <a:blip r:embed="rId198"/>
        <a:stretch>
          <a:fillRect/>
        </a:stretch>
      </xdr:blipFill>
      <xdr:spPr>
        <a:xfrm>
          <a:off x="933450" y="337392010"/>
          <a:ext cx="411480" cy="411480"/>
        </a:xfrm>
        <a:prstGeom prst="rect">
          <a:avLst/>
        </a:prstGeom>
      </xdr:spPr>
    </xdr:pic>
  </etc:cellImage>
  <etc:cellImage>
    <xdr:pic>
      <xdr:nvPicPr>
        <xdr:cNvPr id="775" name="ID_BB8ACC47D41F42AA9EF2AF1823B25906" descr="B0FL6WP6ZR_product_img"/>
        <xdr:cNvPicPr/>
      </xdr:nvPicPr>
      <xdr:blipFill>
        <a:blip r:embed="rId199"/>
        <a:stretch>
          <a:fillRect/>
        </a:stretch>
      </xdr:blipFill>
      <xdr:spPr>
        <a:xfrm>
          <a:off x="933450" y="300809660"/>
          <a:ext cx="411480" cy="411480"/>
        </a:xfrm>
        <a:prstGeom prst="rect">
          <a:avLst/>
        </a:prstGeom>
      </xdr:spPr>
    </xdr:pic>
  </etc:cellImage>
  <etc:cellImage>
    <xdr:pic>
      <xdr:nvPicPr>
        <xdr:cNvPr id="774" name="ID_772FDA6306AB4D3F91DCD02B2D09DDCD" descr="B0FL6W8BS9_product_img"/>
        <xdr:cNvPicPr/>
      </xdr:nvPicPr>
      <xdr:blipFill>
        <a:blip r:embed="rId200"/>
        <a:stretch>
          <a:fillRect/>
        </a:stretch>
      </xdr:blipFill>
      <xdr:spPr>
        <a:xfrm>
          <a:off x="933450" y="424279060"/>
          <a:ext cx="411480" cy="411480"/>
        </a:xfrm>
        <a:prstGeom prst="rect">
          <a:avLst/>
        </a:prstGeom>
      </xdr:spPr>
    </xdr:pic>
  </etc:cellImage>
  <etc:cellImage>
    <xdr:pic>
      <xdr:nvPicPr>
        <xdr:cNvPr id="767" name="ID_9D9433A4526E45FDA1DB403D00D226C0" descr="B0FKRW31V9_product_img"/>
        <xdr:cNvPicPr/>
      </xdr:nvPicPr>
      <xdr:blipFill>
        <a:blip r:embed="rId201"/>
        <a:stretch>
          <a:fillRect/>
        </a:stretch>
      </xdr:blipFill>
      <xdr:spPr>
        <a:xfrm>
          <a:off x="933450" y="321478910"/>
          <a:ext cx="411480" cy="411480"/>
        </a:xfrm>
        <a:prstGeom prst="rect">
          <a:avLst/>
        </a:prstGeom>
      </xdr:spPr>
    </xdr:pic>
  </etc:cellImage>
  <etc:cellImage>
    <xdr:pic>
      <xdr:nvPicPr>
        <xdr:cNvPr id="764" name="ID_07254C7B3E3B4D5F922BCA8A5D9FD5D3" descr="B0FKHPVJF8_product_img"/>
        <xdr:cNvPicPr/>
      </xdr:nvPicPr>
      <xdr:blipFill>
        <a:blip r:embed="rId202"/>
        <a:stretch>
          <a:fillRect/>
        </a:stretch>
      </xdr:blipFill>
      <xdr:spPr>
        <a:xfrm>
          <a:off x="933450" y="217941525"/>
          <a:ext cx="411480" cy="411480"/>
        </a:xfrm>
        <a:prstGeom prst="rect">
          <a:avLst/>
        </a:prstGeom>
      </xdr:spPr>
    </xdr:pic>
  </etc:cellImage>
  <etc:cellImage>
    <xdr:pic>
      <xdr:nvPicPr>
        <xdr:cNvPr id="762" name="ID_2A5BE6257C06471F8F68EE6A88E1E128" descr="B0FKD3826X_product_img"/>
        <xdr:cNvPicPr/>
      </xdr:nvPicPr>
      <xdr:blipFill>
        <a:blip r:embed="rId203"/>
        <a:stretch>
          <a:fillRect/>
        </a:stretch>
      </xdr:blipFill>
      <xdr:spPr>
        <a:xfrm>
          <a:off x="933450" y="108658025"/>
          <a:ext cx="411480" cy="411480"/>
        </a:xfrm>
        <a:prstGeom prst="rect">
          <a:avLst/>
        </a:prstGeom>
      </xdr:spPr>
    </xdr:pic>
  </etc:cellImage>
  <etc:cellImage>
    <xdr:pic>
      <xdr:nvPicPr>
        <xdr:cNvPr id="761" name="ID_B24D16EFC430463D8D0A51FB057FA4AF" descr="B0FKBN34KK_product_img"/>
        <xdr:cNvPicPr/>
      </xdr:nvPicPr>
      <xdr:blipFill>
        <a:blip r:embed="rId204"/>
        <a:stretch>
          <a:fillRect/>
        </a:stretch>
      </xdr:blipFill>
      <xdr:spPr>
        <a:xfrm>
          <a:off x="933450" y="156117925"/>
          <a:ext cx="411480" cy="411480"/>
        </a:xfrm>
        <a:prstGeom prst="rect">
          <a:avLst/>
        </a:prstGeom>
      </xdr:spPr>
    </xdr:pic>
  </etc:cellImage>
  <etc:cellImage>
    <xdr:pic>
      <xdr:nvPicPr>
        <xdr:cNvPr id="756" name="ID_E518A8DE4D2846169DC66A0249FA4449" descr="B0FJY834JC_product_img"/>
        <xdr:cNvPicPr/>
      </xdr:nvPicPr>
      <xdr:blipFill>
        <a:blip r:embed="rId205"/>
        <a:stretch>
          <a:fillRect/>
        </a:stretch>
      </xdr:blipFill>
      <xdr:spPr>
        <a:xfrm>
          <a:off x="933450" y="112315625"/>
          <a:ext cx="411480" cy="411480"/>
        </a:xfrm>
        <a:prstGeom prst="rect">
          <a:avLst/>
        </a:prstGeom>
      </xdr:spPr>
    </xdr:pic>
  </etc:cellImage>
  <etc:cellImage>
    <xdr:pic>
      <xdr:nvPicPr>
        <xdr:cNvPr id="753" name="ID_8D7B35C85E0F402E8F9DAC41271A52AC" descr="B0FJXCQKLP_product_img"/>
        <xdr:cNvPicPr/>
      </xdr:nvPicPr>
      <xdr:blipFill>
        <a:blip r:embed="rId206"/>
        <a:stretch>
          <a:fillRect/>
        </a:stretch>
      </xdr:blipFill>
      <xdr:spPr>
        <a:xfrm>
          <a:off x="933450" y="110029625"/>
          <a:ext cx="411480" cy="411480"/>
        </a:xfrm>
        <a:prstGeom prst="rect">
          <a:avLst/>
        </a:prstGeom>
      </xdr:spPr>
    </xdr:pic>
  </etc:cellImage>
  <etc:cellImage>
    <xdr:pic>
      <xdr:nvPicPr>
        <xdr:cNvPr id="751" name="ID_4889D6676CCE45E1BF1D88AF8F32B3A9" descr="B0FJS2CK5D_product_img"/>
        <xdr:cNvPicPr/>
      </xdr:nvPicPr>
      <xdr:blipFill>
        <a:blip r:embed="rId139"/>
        <a:stretch>
          <a:fillRect/>
        </a:stretch>
      </xdr:blipFill>
      <xdr:spPr>
        <a:xfrm>
          <a:off x="933450" y="499545610"/>
          <a:ext cx="411480" cy="411480"/>
        </a:xfrm>
        <a:prstGeom prst="rect">
          <a:avLst/>
        </a:prstGeom>
      </xdr:spPr>
    </xdr:pic>
  </etc:cellImage>
  <etc:cellImage>
    <xdr:pic>
      <xdr:nvPicPr>
        <xdr:cNvPr id="743" name="ID_AD50235C124E45839F11D6ACABF93D54" descr="B0FJ71GN78_product_img"/>
        <xdr:cNvPicPr/>
      </xdr:nvPicPr>
      <xdr:blipFill>
        <a:blip r:embed="rId207"/>
        <a:stretch>
          <a:fillRect/>
        </a:stretch>
      </xdr:blipFill>
      <xdr:spPr>
        <a:xfrm>
          <a:off x="933450" y="92103575"/>
          <a:ext cx="411480" cy="411480"/>
        </a:xfrm>
        <a:prstGeom prst="rect">
          <a:avLst/>
        </a:prstGeom>
      </xdr:spPr>
    </xdr:pic>
  </etc:cellImage>
  <etc:cellImage>
    <xdr:pic>
      <xdr:nvPicPr>
        <xdr:cNvPr id="738" name="ID_132E91863229493598EE5964EBD1C782" descr="B0FJ6CNXYH_product_img"/>
        <xdr:cNvPicPr/>
      </xdr:nvPicPr>
      <xdr:blipFill>
        <a:blip r:embed="rId208"/>
        <a:stretch>
          <a:fillRect/>
        </a:stretch>
      </xdr:blipFill>
      <xdr:spPr>
        <a:xfrm>
          <a:off x="933450" y="78108175"/>
          <a:ext cx="411480" cy="411480"/>
        </a:xfrm>
        <a:prstGeom prst="rect">
          <a:avLst/>
        </a:prstGeom>
      </xdr:spPr>
    </xdr:pic>
  </etc:cellImage>
  <etc:cellImage>
    <xdr:pic>
      <xdr:nvPicPr>
        <xdr:cNvPr id="737" name="ID_CF213392A83B4E3FA5FB13D3596F7958" descr="B0FJ5V9YTF_product_img"/>
        <xdr:cNvPicPr/>
      </xdr:nvPicPr>
      <xdr:blipFill>
        <a:blip r:embed="rId209"/>
        <a:stretch>
          <a:fillRect/>
        </a:stretch>
      </xdr:blipFill>
      <xdr:spPr>
        <a:xfrm>
          <a:off x="933450" y="130057525"/>
          <a:ext cx="411480" cy="411480"/>
        </a:xfrm>
        <a:prstGeom prst="rect">
          <a:avLst/>
        </a:prstGeom>
      </xdr:spPr>
    </xdr:pic>
  </etc:cellImage>
  <etc:cellImage>
    <xdr:pic>
      <xdr:nvPicPr>
        <xdr:cNvPr id="733" name="ID_884F37CA4013481A9CA4AD544AE50C8E" descr="B0FHWH98RV_product_img"/>
        <xdr:cNvPicPr/>
      </xdr:nvPicPr>
      <xdr:blipFill>
        <a:blip r:embed="rId210"/>
        <a:stretch>
          <a:fillRect/>
        </a:stretch>
      </xdr:blipFill>
      <xdr:spPr>
        <a:xfrm>
          <a:off x="933450" y="306296060"/>
          <a:ext cx="411480" cy="411480"/>
        </a:xfrm>
        <a:prstGeom prst="rect">
          <a:avLst/>
        </a:prstGeom>
      </xdr:spPr>
    </xdr:pic>
  </etc:cellImage>
  <etc:cellImage>
    <xdr:pic>
      <xdr:nvPicPr>
        <xdr:cNvPr id="731" name="ID_9F82B0931BA64DACAA1DE60D29B96389" descr="B0FHQC9JJL_product_img"/>
        <xdr:cNvPicPr/>
      </xdr:nvPicPr>
      <xdr:blipFill>
        <a:blip r:embed="rId211"/>
        <a:stretch>
          <a:fillRect/>
        </a:stretch>
      </xdr:blipFill>
      <xdr:spPr>
        <a:xfrm>
          <a:off x="933450" y="166633525"/>
          <a:ext cx="411480" cy="411480"/>
        </a:xfrm>
        <a:prstGeom prst="rect">
          <a:avLst/>
        </a:prstGeom>
      </xdr:spPr>
    </xdr:pic>
  </etc:cellImage>
  <etc:cellImage>
    <xdr:pic>
      <xdr:nvPicPr>
        <xdr:cNvPr id="730" name="ID_0D59EB68F3FB4F67A32FC8A7648865FB" descr="B0FHQ743H5_product_img"/>
        <xdr:cNvPicPr/>
      </xdr:nvPicPr>
      <xdr:blipFill>
        <a:blip r:embed="rId212"/>
        <a:stretch>
          <a:fillRect/>
        </a:stretch>
      </xdr:blipFill>
      <xdr:spPr>
        <a:xfrm>
          <a:off x="933450" y="105000425"/>
          <a:ext cx="411480" cy="411480"/>
        </a:xfrm>
        <a:prstGeom prst="rect">
          <a:avLst/>
        </a:prstGeom>
      </xdr:spPr>
    </xdr:pic>
  </etc:cellImage>
  <etc:cellImage>
    <xdr:pic>
      <xdr:nvPicPr>
        <xdr:cNvPr id="729" name="ID_C15052A010624AF7924832EEF290B69C" descr="B0FHQ52QDX_product_img"/>
        <xdr:cNvPicPr/>
      </xdr:nvPicPr>
      <xdr:blipFill>
        <a:blip r:embed="rId213"/>
        <a:stretch>
          <a:fillRect/>
        </a:stretch>
      </xdr:blipFill>
      <xdr:spPr>
        <a:xfrm>
          <a:off x="933450" y="140115925"/>
          <a:ext cx="411480" cy="411480"/>
        </a:xfrm>
        <a:prstGeom prst="rect">
          <a:avLst/>
        </a:prstGeom>
      </xdr:spPr>
    </xdr:pic>
  </etc:cellImage>
  <etc:cellImage>
    <xdr:pic>
      <xdr:nvPicPr>
        <xdr:cNvPr id="726" name="ID_EF595B352A02485D96A2A49FCDC05ADA" descr="B0FHH7YJQG_product_img"/>
        <xdr:cNvPicPr/>
      </xdr:nvPicPr>
      <xdr:blipFill>
        <a:blip r:embed="rId214"/>
        <a:stretch>
          <a:fillRect/>
        </a:stretch>
      </xdr:blipFill>
      <xdr:spPr>
        <a:xfrm>
          <a:off x="933450" y="190960375"/>
          <a:ext cx="411480" cy="411480"/>
        </a:xfrm>
        <a:prstGeom prst="rect">
          <a:avLst/>
        </a:prstGeom>
      </xdr:spPr>
    </xdr:pic>
  </etc:cellImage>
  <etc:cellImage>
    <xdr:pic>
      <xdr:nvPicPr>
        <xdr:cNvPr id="725" name="ID_1DFE713CBEEE4530AE3CFA5B788DB364" descr="B0FHFLPFVC_product_img"/>
        <xdr:cNvPicPr/>
      </xdr:nvPicPr>
      <xdr:blipFill>
        <a:blip r:embed="rId215"/>
        <a:stretch>
          <a:fillRect/>
        </a:stretch>
      </xdr:blipFill>
      <xdr:spPr>
        <a:xfrm>
          <a:off x="933450" y="178431825"/>
          <a:ext cx="411480" cy="411480"/>
        </a:xfrm>
        <a:prstGeom prst="rect">
          <a:avLst/>
        </a:prstGeom>
      </xdr:spPr>
    </xdr:pic>
  </etc:cellImage>
  <etc:cellImage>
    <xdr:pic>
      <xdr:nvPicPr>
        <xdr:cNvPr id="723" name="ID_88109C6E3C2A4E1C8EB2CF2D76761C0B" descr="B0FHBDMS33_product_img"/>
        <xdr:cNvPicPr/>
      </xdr:nvPicPr>
      <xdr:blipFill>
        <a:blip r:embed="rId216"/>
        <a:stretch>
          <a:fillRect/>
        </a:stretch>
      </xdr:blipFill>
      <xdr:spPr>
        <a:xfrm>
          <a:off x="933450" y="351019110"/>
          <a:ext cx="411480" cy="411480"/>
        </a:xfrm>
        <a:prstGeom prst="rect">
          <a:avLst/>
        </a:prstGeom>
      </xdr:spPr>
    </xdr:pic>
  </etc:cellImage>
  <etc:cellImage>
    <xdr:pic>
      <xdr:nvPicPr>
        <xdr:cNvPr id="261" name="ID_E4558C67AD0D4748ACD6E1DB1FA08F22" descr="B0CDX275Q2_product_img"/>
        <xdr:cNvPicPr/>
      </xdr:nvPicPr>
      <xdr:blipFill>
        <a:blip r:embed="rId217"/>
        <a:stretch>
          <a:fillRect/>
        </a:stretch>
      </xdr:blipFill>
      <xdr:spPr>
        <a:xfrm>
          <a:off x="933450" y="362823125"/>
          <a:ext cx="411480" cy="411480"/>
        </a:xfrm>
        <a:prstGeom prst="rect">
          <a:avLst/>
        </a:prstGeom>
      </xdr:spPr>
    </xdr:pic>
  </etc:cellImage>
  <etc:cellImage>
    <xdr:pic>
      <xdr:nvPicPr>
        <xdr:cNvPr id="258" name="ID_07789EC59200486A9A1BEE7AE7B0079E" descr="B0CC65Q4H5_product_img"/>
        <xdr:cNvPicPr/>
      </xdr:nvPicPr>
      <xdr:blipFill>
        <a:blip r:embed="rId218"/>
        <a:stretch>
          <a:fillRect/>
        </a:stretch>
      </xdr:blipFill>
      <xdr:spPr>
        <a:xfrm>
          <a:off x="933450" y="405622760"/>
          <a:ext cx="411480" cy="411480"/>
        </a:xfrm>
        <a:prstGeom prst="rect">
          <a:avLst/>
        </a:prstGeom>
      </xdr:spPr>
    </xdr:pic>
  </etc:cellImage>
  <etc:cellImage>
    <xdr:pic>
      <xdr:nvPicPr>
        <xdr:cNvPr id="243" name="ID_F75A15B41E7F49098070D2AEBB65CC6F" descr="B0C6QCW5FK_product_img"/>
        <xdr:cNvPicPr/>
      </xdr:nvPicPr>
      <xdr:blipFill>
        <a:blip r:embed="rId219"/>
        <a:stretch>
          <a:fillRect/>
        </a:stretch>
      </xdr:blipFill>
      <xdr:spPr>
        <a:xfrm>
          <a:off x="933450" y="105457625"/>
          <a:ext cx="411480" cy="411480"/>
        </a:xfrm>
        <a:prstGeom prst="rect">
          <a:avLst/>
        </a:prstGeom>
      </xdr:spPr>
    </xdr:pic>
  </etc:cellImage>
  <etc:cellImage>
    <xdr:pic>
      <xdr:nvPicPr>
        <xdr:cNvPr id="240" name="ID_D8318E4CC23348AFA24E37289CE26209" descr="B0C4DHTS2T_product_img"/>
        <xdr:cNvPicPr/>
      </xdr:nvPicPr>
      <xdr:blipFill>
        <a:blip r:embed="rId219"/>
        <a:stretch>
          <a:fillRect/>
        </a:stretch>
      </xdr:blipFill>
      <xdr:spPr>
        <a:xfrm>
          <a:off x="933450" y="69421375"/>
          <a:ext cx="411480" cy="411480"/>
        </a:xfrm>
        <a:prstGeom prst="rect">
          <a:avLst/>
        </a:prstGeom>
      </xdr:spPr>
    </xdr:pic>
  </etc:cellImage>
  <etc:cellImage>
    <xdr:pic>
      <xdr:nvPicPr>
        <xdr:cNvPr id="224" name="ID_0569CCC976194FA7AD2D325FF42F5B96" descr="B0BPY6HR6S_product_img"/>
        <xdr:cNvPicPr/>
      </xdr:nvPicPr>
      <xdr:blipFill>
        <a:blip r:embed="rId220"/>
        <a:stretch>
          <a:fillRect/>
        </a:stretch>
      </xdr:blipFill>
      <xdr:spPr>
        <a:xfrm>
          <a:off x="933450" y="158861125"/>
          <a:ext cx="411480" cy="411480"/>
        </a:xfrm>
        <a:prstGeom prst="rect">
          <a:avLst/>
        </a:prstGeom>
      </xdr:spPr>
    </xdr:pic>
  </etc:cellImage>
  <etc:cellImage>
    <xdr:pic>
      <xdr:nvPicPr>
        <xdr:cNvPr id="222" name="ID_AEDAD3240A494F14AD25BDE215F5A329" descr="B0BN59KR48_product_img"/>
        <xdr:cNvPicPr/>
      </xdr:nvPicPr>
      <xdr:blipFill>
        <a:blip r:embed="rId221"/>
        <a:stretch>
          <a:fillRect/>
        </a:stretch>
      </xdr:blipFill>
      <xdr:spPr>
        <a:xfrm>
          <a:off x="933450" y="159318325"/>
          <a:ext cx="411480" cy="411480"/>
        </a:xfrm>
        <a:prstGeom prst="rect">
          <a:avLst/>
        </a:prstGeom>
      </xdr:spPr>
    </xdr:pic>
  </etc:cellImage>
  <etc:cellImage>
    <xdr:pic>
      <xdr:nvPicPr>
        <xdr:cNvPr id="210" name="ID_DB41A440EFDD4BAE96F9DB0A3695F62E" descr="B0B2RM68G2_product_img"/>
        <xdr:cNvPicPr/>
      </xdr:nvPicPr>
      <xdr:blipFill>
        <a:blip r:embed="rId222"/>
        <a:stretch>
          <a:fillRect/>
        </a:stretch>
      </xdr:blipFill>
      <xdr:spPr>
        <a:xfrm>
          <a:off x="933450" y="356689025"/>
          <a:ext cx="411480" cy="411480"/>
        </a:xfrm>
        <a:prstGeom prst="rect">
          <a:avLst/>
        </a:prstGeom>
      </xdr:spPr>
    </xdr:pic>
  </etc:cellImage>
  <etc:cellImage>
    <xdr:pic>
      <xdr:nvPicPr>
        <xdr:cNvPr id="297" name="ID_6A98AFBDD8094E7F9F254C010C1ABAD3" descr="B0CP954NWK_product_img"/>
        <xdr:cNvPicPr/>
      </xdr:nvPicPr>
      <xdr:blipFill>
        <a:blip r:embed="rId223"/>
        <a:stretch>
          <a:fillRect/>
        </a:stretch>
      </xdr:blipFill>
      <xdr:spPr>
        <a:xfrm>
          <a:off x="933450" y="146973925"/>
          <a:ext cx="411480" cy="411480"/>
        </a:xfrm>
        <a:prstGeom prst="rect">
          <a:avLst/>
        </a:prstGeom>
      </xdr:spPr>
    </xdr:pic>
  </etc:cellImage>
  <etc:cellImage>
    <xdr:pic>
      <xdr:nvPicPr>
        <xdr:cNvPr id="299" name="ID_94906A89710D4084A9C615385391A6BE" descr="B0CPXZ33M8_product_img"/>
        <xdr:cNvPicPr/>
      </xdr:nvPicPr>
      <xdr:blipFill>
        <a:blip r:embed="rId224"/>
        <a:stretch>
          <a:fillRect/>
        </a:stretch>
      </xdr:blipFill>
      <xdr:spPr>
        <a:xfrm>
          <a:off x="933450" y="83048475"/>
          <a:ext cx="411480" cy="411480"/>
        </a:xfrm>
        <a:prstGeom prst="rect">
          <a:avLst/>
        </a:prstGeom>
      </xdr:spPr>
    </xdr:pic>
  </etc:cellImage>
  <etc:cellImage>
    <xdr:pic>
      <xdr:nvPicPr>
        <xdr:cNvPr id="308" name="ID_C5BCA6DCBA6F49159CAF5DF484998802" descr="B0CRVG6M56_product_img"/>
        <xdr:cNvPicPr/>
      </xdr:nvPicPr>
      <xdr:blipFill>
        <a:blip r:embed="rId225"/>
        <a:stretch>
          <a:fillRect/>
        </a:stretch>
      </xdr:blipFill>
      <xdr:spPr>
        <a:xfrm>
          <a:off x="933450" y="275008975"/>
          <a:ext cx="411480" cy="411480"/>
        </a:xfrm>
        <a:prstGeom prst="rect">
          <a:avLst/>
        </a:prstGeom>
      </xdr:spPr>
    </xdr:pic>
  </etc:cellImage>
  <etc:cellImage>
    <xdr:pic>
      <xdr:nvPicPr>
        <xdr:cNvPr id="311" name="ID_5200520CB40749E2949DAD1D78FEC3DB" descr="B0CSFBQ9GY_product_img"/>
        <xdr:cNvPicPr/>
      </xdr:nvPicPr>
      <xdr:blipFill>
        <a:blip r:embed="rId226"/>
        <a:stretch>
          <a:fillRect/>
        </a:stretch>
      </xdr:blipFill>
      <xdr:spPr>
        <a:xfrm>
          <a:off x="933450" y="88261825"/>
          <a:ext cx="411480" cy="411480"/>
        </a:xfrm>
        <a:prstGeom prst="rect">
          <a:avLst/>
        </a:prstGeom>
      </xdr:spPr>
    </xdr:pic>
  </etc:cellImage>
  <etc:cellImage>
    <xdr:pic>
      <xdr:nvPicPr>
        <xdr:cNvPr id="317" name="ID_11D690AA29894BB5860D2F4B7D623BBC" descr="B0CW392LT6_product_img"/>
        <xdr:cNvPicPr/>
      </xdr:nvPicPr>
      <xdr:blipFill>
        <a:blip r:embed="rId227"/>
        <a:stretch>
          <a:fillRect/>
        </a:stretch>
      </xdr:blipFill>
      <xdr:spPr>
        <a:xfrm>
          <a:off x="933450" y="123472575"/>
          <a:ext cx="411480" cy="411480"/>
        </a:xfrm>
        <a:prstGeom prst="rect">
          <a:avLst/>
        </a:prstGeom>
      </xdr:spPr>
    </xdr:pic>
  </etc:cellImage>
  <etc:cellImage>
    <xdr:pic>
      <xdr:nvPicPr>
        <xdr:cNvPr id="343" name="ID_D814892BFA3A459DBEFAA7A03A4FC48C" descr="B0D3X7PNFX_product_img"/>
        <xdr:cNvPicPr/>
      </xdr:nvPicPr>
      <xdr:blipFill>
        <a:blip r:embed="rId228"/>
        <a:stretch>
          <a:fillRect/>
        </a:stretch>
      </xdr:blipFill>
      <xdr:spPr>
        <a:xfrm>
          <a:off x="933450" y="327879075"/>
          <a:ext cx="411480" cy="411480"/>
        </a:xfrm>
        <a:prstGeom prst="rect">
          <a:avLst/>
        </a:prstGeom>
      </xdr:spPr>
    </xdr:pic>
  </etc:cellImage>
  <etc:cellImage>
    <xdr:pic>
      <xdr:nvPicPr>
        <xdr:cNvPr id="345" name="ID_9C964E984AF7438C83F9CBFDB64A54B3" descr="B0D4DRC9WQ_product_img"/>
        <xdr:cNvPicPr/>
      </xdr:nvPicPr>
      <xdr:blipFill>
        <a:blip r:embed="rId229"/>
        <a:stretch>
          <a:fillRect/>
        </a:stretch>
      </xdr:blipFill>
      <xdr:spPr>
        <a:xfrm>
          <a:off x="933450" y="459947010"/>
          <a:ext cx="411480" cy="411480"/>
        </a:xfrm>
        <a:prstGeom prst="rect">
          <a:avLst/>
        </a:prstGeom>
      </xdr:spPr>
    </xdr:pic>
  </etc:cellImage>
  <etc:cellImage>
    <xdr:pic>
      <xdr:nvPicPr>
        <xdr:cNvPr id="352" name="ID_112F2D271661474FA1D91F67DF79E6CC" descr="B0D5W8D74R_product_img"/>
        <xdr:cNvPicPr/>
      </xdr:nvPicPr>
      <xdr:blipFill>
        <a:blip r:embed="rId230"/>
        <a:stretch>
          <a:fillRect/>
        </a:stretch>
      </xdr:blipFill>
      <xdr:spPr>
        <a:xfrm>
          <a:off x="933450" y="184559575"/>
          <a:ext cx="411480" cy="411480"/>
        </a:xfrm>
        <a:prstGeom prst="rect">
          <a:avLst/>
        </a:prstGeom>
      </xdr:spPr>
    </xdr:pic>
  </etc:cellImage>
  <etc:cellImage>
    <xdr:pic>
      <xdr:nvPicPr>
        <xdr:cNvPr id="353" name="ID_A00013B194DF48DBBEF002F088B9DE42" descr="B0D5WB3ZDP_product_img"/>
        <xdr:cNvPicPr/>
      </xdr:nvPicPr>
      <xdr:blipFill>
        <a:blip r:embed="rId231"/>
        <a:stretch>
          <a:fillRect/>
        </a:stretch>
      </xdr:blipFill>
      <xdr:spPr>
        <a:xfrm>
          <a:off x="933450" y="259737225"/>
          <a:ext cx="411480" cy="411480"/>
        </a:xfrm>
        <a:prstGeom prst="rect">
          <a:avLst/>
        </a:prstGeom>
      </xdr:spPr>
    </xdr:pic>
  </etc:cellImage>
  <etc:cellImage>
    <xdr:pic>
      <xdr:nvPicPr>
        <xdr:cNvPr id="355" name="ID_869B2195BDD1440D8700E0AC9C5055DB" descr="B0D6LKD67Y_product_img"/>
        <xdr:cNvPicPr/>
      </xdr:nvPicPr>
      <xdr:blipFill>
        <a:blip r:embed="rId232"/>
        <a:stretch>
          <a:fillRect/>
        </a:stretch>
      </xdr:blipFill>
      <xdr:spPr>
        <a:xfrm>
          <a:off x="933450" y="317636525"/>
          <a:ext cx="411480" cy="411480"/>
        </a:xfrm>
        <a:prstGeom prst="rect">
          <a:avLst/>
        </a:prstGeom>
      </xdr:spPr>
    </xdr:pic>
  </etc:cellImage>
  <etc:cellImage>
    <xdr:pic>
      <xdr:nvPicPr>
        <xdr:cNvPr id="356" name="ID_8D5ABB4048FB41FBA207870FE226AEEB" descr="B0D6QQ4PGR_product_img"/>
        <xdr:cNvPicPr/>
      </xdr:nvPicPr>
      <xdr:blipFill>
        <a:blip r:embed="rId233"/>
        <a:stretch>
          <a:fillRect/>
        </a:stretch>
      </xdr:blipFill>
      <xdr:spPr>
        <a:xfrm>
          <a:off x="933450" y="271624425"/>
          <a:ext cx="411480" cy="411480"/>
        </a:xfrm>
        <a:prstGeom prst="rect">
          <a:avLst/>
        </a:prstGeom>
      </xdr:spPr>
    </xdr:pic>
  </etc:cellImage>
  <etc:cellImage>
    <xdr:pic>
      <xdr:nvPicPr>
        <xdr:cNvPr id="357" name="ID_3BF63CDA7B6042DC840837421ED921EC" descr="B0D8BJLD2Y_product_img"/>
        <xdr:cNvPicPr/>
      </xdr:nvPicPr>
      <xdr:blipFill>
        <a:blip r:embed="rId234"/>
        <a:stretch>
          <a:fillRect/>
        </a:stretch>
      </xdr:blipFill>
      <xdr:spPr>
        <a:xfrm>
          <a:off x="933450" y="86706075"/>
          <a:ext cx="411480" cy="411480"/>
        </a:xfrm>
        <a:prstGeom prst="rect">
          <a:avLst/>
        </a:prstGeom>
      </xdr:spPr>
    </xdr:pic>
  </etc:cellImage>
  <etc:cellImage>
    <xdr:pic>
      <xdr:nvPicPr>
        <xdr:cNvPr id="358" name="ID_7D9FB0857CFC4C77BAE280353D1A9410" descr="B0D8BKM4FF_product_img"/>
        <xdr:cNvPicPr/>
      </xdr:nvPicPr>
      <xdr:blipFill>
        <a:blip r:embed="rId235"/>
        <a:stretch>
          <a:fillRect/>
        </a:stretch>
      </xdr:blipFill>
      <xdr:spPr>
        <a:xfrm>
          <a:off x="933450" y="332635225"/>
          <a:ext cx="411480" cy="411480"/>
        </a:xfrm>
        <a:prstGeom prst="rect">
          <a:avLst/>
        </a:prstGeom>
      </xdr:spPr>
    </xdr:pic>
  </etc:cellImage>
  <etc:cellImage>
    <xdr:pic>
      <xdr:nvPicPr>
        <xdr:cNvPr id="360" name="ID_9655DADB5A44437581A3F573A33DF455" descr="B0D8PMH8BF_product_img"/>
        <xdr:cNvPicPr/>
      </xdr:nvPicPr>
      <xdr:blipFill>
        <a:blip r:embed="rId236"/>
        <a:stretch>
          <a:fillRect/>
        </a:stretch>
      </xdr:blipFill>
      <xdr:spPr>
        <a:xfrm>
          <a:off x="933450" y="141944725"/>
          <a:ext cx="411480" cy="411480"/>
        </a:xfrm>
        <a:prstGeom prst="rect">
          <a:avLst/>
        </a:prstGeom>
      </xdr:spPr>
    </xdr:pic>
  </etc:cellImage>
  <etc:cellImage>
    <xdr:pic>
      <xdr:nvPicPr>
        <xdr:cNvPr id="365" name="ID_A9312ECD69F84E388B548E8F89D87897" descr="B0D9CB55M9_product_img"/>
        <xdr:cNvPicPr/>
      </xdr:nvPicPr>
      <xdr:blipFill>
        <a:blip r:embed="rId237"/>
        <a:stretch>
          <a:fillRect/>
        </a:stretch>
      </xdr:blipFill>
      <xdr:spPr>
        <a:xfrm>
          <a:off x="933450" y="182730775"/>
          <a:ext cx="411480" cy="411480"/>
        </a:xfrm>
        <a:prstGeom prst="rect">
          <a:avLst/>
        </a:prstGeom>
      </xdr:spPr>
    </xdr:pic>
  </etc:cellImage>
  <etc:cellImage>
    <xdr:pic>
      <xdr:nvPicPr>
        <xdr:cNvPr id="367" name="ID_81B9DDC2B501461794AFAA76D49FAABB" descr="B0D9M2395T_product_img"/>
        <xdr:cNvPicPr/>
      </xdr:nvPicPr>
      <xdr:blipFill>
        <a:blip r:embed="rId238"/>
        <a:stretch>
          <a:fillRect/>
        </a:stretch>
      </xdr:blipFill>
      <xdr:spPr>
        <a:xfrm>
          <a:off x="933450" y="241995325"/>
          <a:ext cx="411480" cy="411480"/>
        </a:xfrm>
        <a:prstGeom prst="rect">
          <a:avLst/>
        </a:prstGeom>
      </xdr:spPr>
    </xdr:pic>
  </etc:cellImage>
  <etc:cellImage>
    <xdr:pic>
      <xdr:nvPicPr>
        <xdr:cNvPr id="371" name="ID_DFEA448195EC48338A8EBC322E503B00" descr="B0D9W25CXW_product_img"/>
        <xdr:cNvPicPr/>
      </xdr:nvPicPr>
      <xdr:blipFill>
        <a:blip r:embed="rId239"/>
        <a:stretch>
          <a:fillRect/>
        </a:stretch>
      </xdr:blipFill>
      <xdr:spPr>
        <a:xfrm>
          <a:off x="933450" y="421993060"/>
          <a:ext cx="411480" cy="411480"/>
        </a:xfrm>
        <a:prstGeom prst="rect">
          <a:avLst/>
        </a:prstGeom>
      </xdr:spPr>
    </xdr:pic>
  </etc:cellImage>
  <etc:cellImage>
    <xdr:pic>
      <xdr:nvPicPr>
        <xdr:cNvPr id="372" name="ID_D8EFD9632E004E4DAD2D0BAA1A376588" descr="B0D9W736V2_product_img"/>
        <xdr:cNvPicPr/>
      </xdr:nvPicPr>
      <xdr:blipFill>
        <a:blip r:embed="rId240"/>
        <a:stretch>
          <a:fillRect/>
        </a:stretch>
      </xdr:blipFill>
      <xdr:spPr>
        <a:xfrm>
          <a:off x="933450" y="157489525"/>
          <a:ext cx="411480" cy="411480"/>
        </a:xfrm>
        <a:prstGeom prst="rect">
          <a:avLst/>
        </a:prstGeom>
      </xdr:spPr>
    </xdr:pic>
  </etc:cellImage>
  <etc:cellImage>
    <xdr:pic>
      <xdr:nvPicPr>
        <xdr:cNvPr id="375" name="ID_C23E49A0892C4DF9BF1E23B195C61225" descr="B0D47R9W1X_product_img"/>
        <xdr:cNvPicPr/>
      </xdr:nvPicPr>
      <xdr:blipFill>
        <a:blip r:embed="rId241"/>
        <a:stretch>
          <a:fillRect/>
        </a:stretch>
      </xdr:blipFill>
      <xdr:spPr>
        <a:xfrm>
          <a:off x="933450" y="147888325"/>
          <a:ext cx="411480" cy="411480"/>
        </a:xfrm>
        <a:prstGeom prst="rect">
          <a:avLst/>
        </a:prstGeom>
      </xdr:spPr>
    </xdr:pic>
  </etc:cellImage>
  <etc:cellImage>
    <xdr:pic>
      <xdr:nvPicPr>
        <xdr:cNvPr id="377" name="ID_7D9351CCCB0E4554A3057A2667D134DE" descr="B0D59TQ4TV_product_img"/>
        <xdr:cNvPicPr/>
      </xdr:nvPicPr>
      <xdr:blipFill>
        <a:blip r:embed="rId242"/>
        <a:stretch>
          <a:fillRect/>
        </a:stretch>
      </xdr:blipFill>
      <xdr:spPr>
        <a:xfrm>
          <a:off x="933450" y="95303975"/>
          <a:ext cx="411480" cy="411480"/>
        </a:xfrm>
        <a:prstGeom prst="rect">
          <a:avLst/>
        </a:prstGeom>
      </xdr:spPr>
    </xdr:pic>
  </etc:cellImage>
  <etc:cellImage>
    <xdr:pic>
      <xdr:nvPicPr>
        <xdr:cNvPr id="381" name="ID_323E97874E1448338D9EACCB57327359" descr="B0D95GGXJX_product_img"/>
        <xdr:cNvPicPr/>
      </xdr:nvPicPr>
      <xdr:blipFill>
        <a:blip r:embed="rId243"/>
        <a:stretch>
          <a:fillRect/>
        </a:stretch>
      </xdr:blipFill>
      <xdr:spPr>
        <a:xfrm>
          <a:off x="933450" y="440649360"/>
          <a:ext cx="411480" cy="411480"/>
        </a:xfrm>
        <a:prstGeom prst="rect">
          <a:avLst/>
        </a:prstGeom>
      </xdr:spPr>
    </xdr:pic>
  </etc:cellImage>
  <etc:cellImage>
    <xdr:pic>
      <xdr:nvPicPr>
        <xdr:cNvPr id="392" name="ID_A80496EF28F141498A4D6A57ED15BA33" descr="B0DB5NGVQ7_product_img"/>
        <xdr:cNvPicPr/>
      </xdr:nvPicPr>
      <xdr:blipFill>
        <a:blip r:embed="rId244"/>
        <a:stretch>
          <a:fillRect/>
        </a:stretch>
      </xdr:blipFill>
      <xdr:spPr>
        <a:xfrm>
          <a:off x="933450" y="113687225"/>
          <a:ext cx="411480" cy="411480"/>
        </a:xfrm>
        <a:prstGeom prst="rect">
          <a:avLst/>
        </a:prstGeom>
      </xdr:spPr>
    </xdr:pic>
  </etc:cellImage>
  <etc:cellImage>
    <xdr:pic>
      <xdr:nvPicPr>
        <xdr:cNvPr id="397" name="ID_C5FF6F4F862F46E593C72EF2C8685355" descr="B0DBL6QF4B_product_img"/>
        <xdr:cNvPicPr/>
      </xdr:nvPicPr>
      <xdr:blipFill>
        <a:blip r:embed="rId245"/>
        <a:stretch>
          <a:fillRect/>
        </a:stretch>
      </xdr:blipFill>
      <xdr:spPr>
        <a:xfrm>
          <a:off x="933450" y="451533260"/>
          <a:ext cx="411480" cy="411480"/>
        </a:xfrm>
        <a:prstGeom prst="rect">
          <a:avLst/>
        </a:prstGeom>
      </xdr:spPr>
    </xdr:pic>
  </etc:cellImage>
  <etc:cellImage>
    <xdr:pic>
      <xdr:nvPicPr>
        <xdr:cNvPr id="406" name="ID_641B4CBE6AC0423F9DB128F786407F45" descr="B0DCNB6ZWK_product_img"/>
        <xdr:cNvPicPr/>
      </xdr:nvPicPr>
      <xdr:blipFill>
        <a:blip r:embed="rId246"/>
        <a:stretch>
          <a:fillRect/>
        </a:stretch>
      </xdr:blipFill>
      <xdr:spPr>
        <a:xfrm>
          <a:off x="933450" y="237969425"/>
          <a:ext cx="411480" cy="411480"/>
        </a:xfrm>
        <a:prstGeom prst="rect">
          <a:avLst/>
        </a:prstGeom>
      </xdr:spPr>
    </xdr:pic>
  </etc:cellImage>
  <etc:cellImage>
    <xdr:pic>
      <xdr:nvPicPr>
        <xdr:cNvPr id="415" name="ID_7C8DD058C505448DB3C455A8C720E7DC" descr="B0DFCF52KD_product_img"/>
        <xdr:cNvPicPr/>
      </xdr:nvPicPr>
      <xdr:blipFill>
        <a:blip r:embed="rId247"/>
        <a:stretch>
          <a:fillRect/>
        </a:stretch>
      </xdr:blipFill>
      <xdr:spPr>
        <a:xfrm>
          <a:off x="933450" y="384223260"/>
          <a:ext cx="411480" cy="411480"/>
        </a:xfrm>
        <a:prstGeom prst="rect">
          <a:avLst/>
        </a:prstGeom>
      </xdr:spPr>
    </xdr:pic>
  </etc:cellImage>
  <etc:cellImage>
    <xdr:pic>
      <xdr:nvPicPr>
        <xdr:cNvPr id="431" name="ID_7416FCC0A7CA400FB967C93151153FFD" descr="B0DGTFQNKJ_product_img"/>
        <xdr:cNvPicPr/>
      </xdr:nvPicPr>
      <xdr:blipFill>
        <a:blip r:embed="rId248"/>
        <a:stretch>
          <a:fillRect/>
        </a:stretch>
      </xdr:blipFill>
      <xdr:spPr>
        <a:xfrm>
          <a:off x="933450" y="209527775"/>
          <a:ext cx="411480" cy="411480"/>
        </a:xfrm>
        <a:prstGeom prst="rect">
          <a:avLst/>
        </a:prstGeom>
      </xdr:spPr>
    </xdr:pic>
  </etc:cellImage>
  <etc:cellImage>
    <xdr:pic>
      <xdr:nvPicPr>
        <xdr:cNvPr id="432" name="ID_6A32313B82B04A7599D484E63D40F77C" descr="B0DH2SKBF1_product_img"/>
        <xdr:cNvPicPr/>
      </xdr:nvPicPr>
      <xdr:blipFill>
        <a:blip r:embed="rId249"/>
        <a:stretch>
          <a:fillRect/>
        </a:stretch>
      </xdr:blipFill>
      <xdr:spPr>
        <a:xfrm>
          <a:off x="933450" y="279765125"/>
          <a:ext cx="411480" cy="411480"/>
        </a:xfrm>
        <a:prstGeom prst="rect">
          <a:avLst/>
        </a:prstGeom>
      </xdr:spPr>
    </xdr:pic>
  </etc:cellImage>
  <etc:cellImage>
    <xdr:pic>
      <xdr:nvPicPr>
        <xdr:cNvPr id="433" name="ID_57459ACD872843FFA224387CA80839A7" descr="B0DHBZL7WC_product_img"/>
        <xdr:cNvPicPr/>
      </xdr:nvPicPr>
      <xdr:blipFill>
        <a:blip r:embed="rId250"/>
        <a:stretch>
          <a:fillRect/>
        </a:stretch>
      </xdr:blipFill>
      <xdr:spPr>
        <a:xfrm>
          <a:off x="933450" y="105914825"/>
          <a:ext cx="411480" cy="411480"/>
        </a:xfrm>
        <a:prstGeom prst="rect">
          <a:avLst/>
        </a:prstGeom>
      </xdr:spPr>
    </xdr:pic>
  </etc:cellImage>
  <etc:cellImage>
    <xdr:pic>
      <xdr:nvPicPr>
        <xdr:cNvPr id="436" name="ID_9A7036808C7B4689B9BDAFB1B7859F0D" descr="B0DHQQFWCM_product_img"/>
        <xdr:cNvPicPr/>
      </xdr:nvPicPr>
      <xdr:blipFill>
        <a:blip r:embed="rId251"/>
        <a:stretch>
          <a:fillRect/>
        </a:stretch>
      </xdr:blipFill>
      <xdr:spPr>
        <a:xfrm>
          <a:off x="933450" y="114601625"/>
          <a:ext cx="411480" cy="411480"/>
        </a:xfrm>
        <a:prstGeom prst="rect">
          <a:avLst/>
        </a:prstGeom>
      </xdr:spPr>
    </xdr:pic>
  </etc:cellImage>
  <etc:cellImage>
    <xdr:pic>
      <xdr:nvPicPr>
        <xdr:cNvPr id="440" name="ID_05F03DE6150D49A28A42798014C74ECC" descr="B0DHZN1N7P_product_img"/>
        <xdr:cNvPicPr/>
      </xdr:nvPicPr>
      <xdr:blipFill>
        <a:blip r:embed="rId252"/>
        <a:stretch>
          <a:fillRect/>
        </a:stretch>
      </xdr:blipFill>
      <xdr:spPr>
        <a:xfrm>
          <a:off x="933450" y="201933175"/>
          <a:ext cx="411480" cy="411480"/>
        </a:xfrm>
        <a:prstGeom prst="rect">
          <a:avLst/>
        </a:prstGeom>
      </xdr:spPr>
    </xdr:pic>
  </etc:cellImage>
  <etc:cellImage>
    <xdr:pic>
      <xdr:nvPicPr>
        <xdr:cNvPr id="441" name="ID_75C3807E32EA4C6894CF91ABB4BC6305" descr="B0DHZT2JBC_product_img"/>
        <xdr:cNvPicPr/>
      </xdr:nvPicPr>
      <xdr:blipFill>
        <a:blip r:embed="rId253"/>
        <a:stretch>
          <a:fillRect/>
        </a:stretch>
      </xdr:blipFill>
      <xdr:spPr>
        <a:xfrm>
          <a:off x="933450" y="229282625"/>
          <a:ext cx="411480" cy="411480"/>
        </a:xfrm>
        <a:prstGeom prst="rect">
          <a:avLst/>
        </a:prstGeom>
      </xdr:spPr>
    </xdr:pic>
  </etc:cellImage>
  <etc:cellImage>
    <xdr:pic>
      <xdr:nvPicPr>
        <xdr:cNvPr id="448" name="ID_4869BEBC667F4F7D831AC39E4812391A" descr="B0DJHDHN68_product_img"/>
        <xdr:cNvPicPr/>
      </xdr:nvPicPr>
      <xdr:blipFill>
        <a:blip r:embed="rId254"/>
        <a:stretch>
          <a:fillRect/>
        </a:stretch>
      </xdr:blipFill>
      <xdr:spPr>
        <a:xfrm>
          <a:off x="933450" y="290102925"/>
          <a:ext cx="411480" cy="411480"/>
        </a:xfrm>
        <a:prstGeom prst="rect">
          <a:avLst/>
        </a:prstGeom>
      </xdr:spPr>
    </xdr:pic>
  </etc:cellImage>
  <etc:cellImage>
    <xdr:pic>
      <xdr:nvPicPr>
        <xdr:cNvPr id="450" name="ID_C289AA3C29AC4568823BEADE1303BB78" descr="B0DJQKVW64_product_img"/>
        <xdr:cNvPicPr/>
      </xdr:nvPicPr>
      <xdr:blipFill>
        <a:blip r:embed="rId255"/>
        <a:stretch>
          <a:fillRect/>
        </a:stretch>
      </xdr:blipFill>
      <xdr:spPr>
        <a:xfrm>
          <a:off x="933450" y="113230025"/>
          <a:ext cx="411480" cy="411480"/>
        </a:xfrm>
        <a:prstGeom prst="rect">
          <a:avLst/>
        </a:prstGeom>
      </xdr:spPr>
    </xdr:pic>
  </etc:cellImage>
  <etc:cellImage>
    <xdr:pic>
      <xdr:nvPicPr>
        <xdr:cNvPr id="456" name="ID_18AB75715BBC4EA4BFF469FD7AF1BC10" descr="B0DK8MH28D_product_img"/>
        <xdr:cNvPicPr/>
      </xdr:nvPicPr>
      <xdr:blipFill>
        <a:blip r:embed="rId256"/>
        <a:stretch>
          <a:fillRect/>
        </a:stretch>
      </xdr:blipFill>
      <xdr:spPr>
        <a:xfrm>
          <a:off x="933450" y="310594375"/>
          <a:ext cx="411480" cy="411480"/>
        </a:xfrm>
        <a:prstGeom prst="rect">
          <a:avLst/>
        </a:prstGeom>
      </xdr:spPr>
    </xdr:pic>
  </etc:cellImage>
  <etc:cellImage>
    <xdr:pic>
      <xdr:nvPicPr>
        <xdr:cNvPr id="460" name="ID_A87CC77B958A45EE8EBC886E412A21DF" descr="B0DKP5476B_product_img"/>
        <xdr:cNvPicPr/>
      </xdr:nvPicPr>
      <xdr:blipFill>
        <a:blip r:embed="rId257"/>
        <a:stretch>
          <a:fillRect/>
        </a:stretch>
      </xdr:blipFill>
      <xdr:spPr>
        <a:xfrm>
          <a:off x="933450" y="413395160"/>
          <a:ext cx="411480" cy="411480"/>
        </a:xfrm>
        <a:prstGeom prst="rect">
          <a:avLst/>
        </a:prstGeom>
      </xdr:spPr>
    </xdr:pic>
  </etc:cellImage>
  <etc:cellImage>
    <xdr:pic>
      <xdr:nvPicPr>
        <xdr:cNvPr id="476" name="ID_9FB12A32180C43AD9F21759C584A0241" descr="B0DNMZ4QSJ_product_img"/>
        <xdr:cNvPicPr/>
      </xdr:nvPicPr>
      <xdr:blipFill>
        <a:blip r:embed="rId258"/>
        <a:stretch>
          <a:fillRect/>
        </a:stretch>
      </xdr:blipFill>
      <xdr:spPr>
        <a:xfrm>
          <a:off x="933450" y="80394175"/>
          <a:ext cx="411480" cy="411480"/>
        </a:xfrm>
        <a:prstGeom prst="rect">
          <a:avLst/>
        </a:prstGeom>
      </xdr:spPr>
    </xdr:pic>
  </etc:cellImage>
  <etc:cellImage>
    <xdr:pic>
      <xdr:nvPicPr>
        <xdr:cNvPr id="487" name="ID_1B801A3E152A485E98FD52DF77D6B5BD" descr="B0DQBPYJ4X_product_img"/>
        <xdr:cNvPicPr/>
      </xdr:nvPicPr>
      <xdr:blipFill>
        <a:blip r:embed="rId259"/>
        <a:stretch>
          <a:fillRect/>
        </a:stretch>
      </xdr:blipFill>
      <xdr:spPr>
        <a:xfrm>
          <a:off x="933450" y="424736260"/>
          <a:ext cx="411480" cy="411480"/>
        </a:xfrm>
        <a:prstGeom prst="rect">
          <a:avLst/>
        </a:prstGeom>
      </xdr:spPr>
    </xdr:pic>
  </etc:cellImage>
  <etc:cellImage>
    <xdr:pic>
      <xdr:nvPicPr>
        <xdr:cNvPr id="488" name="ID_E345FDAEEB7B421DAF8AAFFFA4B713C6" descr="B0DQBTCWKB_product_img"/>
        <xdr:cNvPicPr/>
      </xdr:nvPicPr>
      <xdr:blipFill>
        <a:blip r:embed="rId260"/>
        <a:stretch>
          <a:fillRect/>
        </a:stretch>
      </xdr:blipFill>
      <xdr:spPr>
        <a:xfrm>
          <a:off x="933450" y="167547925"/>
          <a:ext cx="411480" cy="411480"/>
        </a:xfrm>
        <a:prstGeom prst="rect">
          <a:avLst/>
        </a:prstGeom>
      </xdr:spPr>
    </xdr:pic>
  </etc:cellImage>
  <etc:cellImage>
    <xdr:pic>
      <xdr:nvPicPr>
        <xdr:cNvPr id="491" name="ID_92384D84734B4D91B4C598814A6ACD86" descr="B0DQSK8Y52_product_img"/>
        <xdr:cNvPicPr/>
      </xdr:nvPicPr>
      <xdr:blipFill>
        <a:blip r:embed="rId261"/>
        <a:stretch>
          <a:fillRect/>
        </a:stretch>
      </xdr:blipFill>
      <xdr:spPr>
        <a:xfrm>
          <a:off x="933450" y="74907775"/>
          <a:ext cx="411480" cy="411480"/>
        </a:xfrm>
        <a:prstGeom prst="rect">
          <a:avLst/>
        </a:prstGeom>
      </xdr:spPr>
    </xdr:pic>
  </etc:cellImage>
  <etc:cellImage>
    <xdr:pic>
      <xdr:nvPicPr>
        <xdr:cNvPr id="492" name="ID_752C6295CA6748BA87DBAC5F4103A1D0" descr="B0DQTY8Z52_product_img"/>
        <xdr:cNvPicPr/>
      </xdr:nvPicPr>
      <xdr:blipFill>
        <a:blip r:embed="rId262"/>
        <a:stretch>
          <a:fillRect/>
        </a:stretch>
      </xdr:blipFill>
      <xdr:spPr>
        <a:xfrm>
          <a:off x="933450" y="359159810"/>
          <a:ext cx="411480" cy="411480"/>
        </a:xfrm>
        <a:prstGeom prst="rect">
          <a:avLst/>
        </a:prstGeom>
      </xdr:spPr>
    </xdr:pic>
  </etc:cellImage>
  <etc:cellImage>
    <xdr:pic>
      <xdr:nvPicPr>
        <xdr:cNvPr id="503" name="ID_65B65DB0384B4FC0A7E2EEF5117EE010" descr="B0DS2L8JTW_product_img"/>
        <xdr:cNvPicPr/>
      </xdr:nvPicPr>
      <xdr:blipFill>
        <a:blip r:embed="rId263"/>
        <a:stretch>
          <a:fillRect/>
        </a:stretch>
      </xdr:blipFill>
      <xdr:spPr>
        <a:xfrm>
          <a:off x="933450" y="342332310"/>
          <a:ext cx="411480" cy="411480"/>
        </a:xfrm>
        <a:prstGeom prst="rect">
          <a:avLst/>
        </a:prstGeom>
      </xdr:spPr>
    </xdr:pic>
  </etc:cellImage>
  <etc:cellImage>
    <xdr:pic>
      <xdr:nvPicPr>
        <xdr:cNvPr id="522" name="ID_5EEE13C0A543441AB4CF6B1B4FC9AF7C" descr="B0DT431JGG_product_img"/>
        <xdr:cNvPicPr/>
      </xdr:nvPicPr>
      <xdr:blipFill>
        <a:blip r:embed="rId264"/>
        <a:stretch>
          <a:fillRect/>
        </a:stretch>
      </xdr:blipFill>
      <xdr:spPr>
        <a:xfrm>
          <a:off x="933450" y="465160360"/>
          <a:ext cx="411480" cy="411480"/>
        </a:xfrm>
        <a:prstGeom prst="rect">
          <a:avLst/>
        </a:prstGeom>
      </xdr:spPr>
    </xdr:pic>
  </etc:cellImage>
  <etc:cellImage>
    <xdr:pic>
      <xdr:nvPicPr>
        <xdr:cNvPr id="524" name="ID_FA00A95DB49D4D84A43C726CD436A22D" descr="B0DTJT1GWH_product_img"/>
        <xdr:cNvPicPr/>
      </xdr:nvPicPr>
      <xdr:blipFill>
        <a:blip r:embed="rId265"/>
        <a:stretch>
          <a:fillRect/>
        </a:stretch>
      </xdr:blipFill>
      <xdr:spPr>
        <a:xfrm>
          <a:off x="933450" y="213826725"/>
          <a:ext cx="411480" cy="411480"/>
        </a:xfrm>
        <a:prstGeom prst="rect">
          <a:avLst/>
        </a:prstGeom>
      </xdr:spPr>
    </xdr:pic>
  </etc:cellImage>
  <etc:cellImage>
    <xdr:pic>
      <xdr:nvPicPr>
        <xdr:cNvPr id="531" name="ID_516720E9646F4A4D829C0CF8FBDA8C73" descr="B0DVT5V2QH_product_img"/>
        <xdr:cNvPicPr/>
      </xdr:nvPicPr>
      <xdr:blipFill>
        <a:blip r:embed="rId266"/>
        <a:stretch>
          <a:fillRect/>
        </a:stretch>
      </xdr:blipFill>
      <xdr:spPr>
        <a:xfrm>
          <a:off x="933450" y="214741125"/>
          <a:ext cx="411480" cy="411480"/>
        </a:xfrm>
        <a:prstGeom prst="rect">
          <a:avLst/>
        </a:prstGeom>
      </xdr:spPr>
    </xdr:pic>
  </etc:cellImage>
  <etc:cellImage>
    <xdr:pic>
      <xdr:nvPicPr>
        <xdr:cNvPr id="534" name="ID_CA1EAAA84B9A46E09668C036A315C605" descr="B0DWMQPPNZ_product_img"/>
        <xdr:cNvPicPr/>
      </xdr:nvPicPr>
      <xdr:blipFill>
        <a:blip r:embed="rId267"/>
        <a:stretch>
          <a:fillRect/>
        </a:stretch>
      </xdr:blipFill>
      <xdr:spPr>
        <a:xfrm>
          <a:off x="933450" y="112772825"/>
          <a:ext cx="411480" cy="411480"/>
        </a:xfrm>
        <a:prstGeom prst="rect">
          <a:avLst/>
        </a:prstGeom>
      </xdr:spPr>
    </xdr:pic>
  </etc:cellImage>
  <etc:cellImage>
    <xdr:pic>
      <xdr:nvPicPr>
        <xdr:cNvPr id="536" name="ID_8CEEB6655A044E4AA6881E4913F8BB13" descr="B0DWXBTXHS_product_img"/>
        <xdr:cNvPicPr/>
      </xdr:nvPicPr>
      <xdr:blipFill>
        <a:blip r:embed="rId268"/>
        <a:stretch>
          <a:fillRect/>
        </a:stretch>
      </xdr:blipFill>
      <xdr:spPr>
        <a:xfrm>
          <a:off x="933450" y="399679160"/>
          <a:ext cx="411480" cy="411480"/>
        </a:xfrm>
        <a:prstGeom prst="rect">
          <a:avLst/>
        </a:prstGeom>
      </xdr:spPr>
    </xdr:pic>
  </etc:cellImage>
  <etc:cellImage>
    <xdr:pic>
      <xdr:nvPicPr>
        <xdr:cNvPr id="548" name="ID_22B4348593324BC7B13BDF4C845B0367" descr="B0DZKFS7YS_product_img"/>
        <xdr:cNvPicPr/>
      </xdr:nvPicPr>
      <xdr:blipFill>
        <a:blip r:embed="rId269"/>
        <a:stretch>
          <a:fillRect/>
        </a:stretch>
      </xdr:blipFill>
      <xdr:spPr>
        <a:xfrm>
          <a:off x="933450" y="441563760"/>
          <a:ext cx="411480" cy="411480"/>
        </a:xfrm>
        <a:prstGeom prst="rect">
          <a:avLst/>
        </a:prstGeom>
      </xdr:spPr>
    </xdr:pic>
  </etc:cellImage>
  <etc:cellImage>
    <xdr:pic>
      <xdr:nvPicPr>
        <xdr:cNvPr id="549" name="ID_78075BE421A54DC29211E07E820117FF" descr="B0F1CGL25F_product_img"/>
        <xdr:cNvPicPr/>
      </xdr:nvPicPr>
      <xdr:blipFill>
        <a:blip r:embed="rId270"/>
        <a:stretch>
          <a:fillRect/>
        </a:stretch>
      </xdr:blipFill>
      <xdr:spPr>
        <a:xfrm>
          <a:off x="933450" y="281136725"/>
          <a:ext cx="411480" cy="411480"/>
        </a:xfrm>
        <a:prstGeom prst="rect">
          <a:avLst/>
        </a:prstGeom>
      </xdr:spPr>
    </xdr:pic>
  </etc:cellImage>
  <etc:cellImage>
    <xdr:pic>
      <xdr:nvPicPr>
        <xdr:cNvPr id="550" name="ID_5A9BE6833E7E48418B78F133F5541E93" descr="B0F1FWSG6G_product_img"/>
        <xdr:cNvPicPr/>
      </xdr:nvPicPr>
      <xdr:blipFill>
        <a:blip r:embed="rId271"/>
        <a:stretch>
          <a:fillRect/>
        </a:stretch>
      </xdr:blipFill>
      <xdr:spPr>
        <a:xfrm>
          <a:off x="933450" y="295501060"/>
          <a:ext cx="411480" cy="411480"/>
        </a:xfrm>
        <a:prstGeom prst="rect">
          <a:avLst/>
        </a:prstGeom>
      </xdr:spPr>
    </xdr:pic>
  </etc:cellImage>
  <etc:cellImage>
    <xdr:pic>
      <xdr:nvPicPr>
        <xdr:cNvPr id="553" name="ID_376AA60E7EA4482CA6AB77BD70AB763F" descr="B0F1SZDFC1_product_img"/>
        <xdr:cNvPicPr/>
      </xdr:nvPicPr>
      <xdr:blipFill>
        <a:blip r:embed="rId272"/>
        <a:stretch>
          <a:fillRect/>
        </a:stretch>
      </xdr:blipFill>
      <xdr:spPr>
        <a:xfrm>
          <a:off x="933450" y="324222110"/>
          <a:ext cx="411480" cy="411480"/>
        </a:xfrm>
        <a:prstGeom prst="rect">
          <a:avLst/>
        </a:prstGeom>
      </xdr:spPr>
    </xdr:pic>
  </etc:cellImage>
  <etc:cellImage>
    <xdr:pic>
      <xdr:nvPicPr>
        <xdr:cNvPr id="554" name="ID_B33E5B06C7C448F7964F2A5AEE7D7483" descr="B0F1SZXHPS_product_img"/>
        <xdr:cNvPicPr/>
      </xdr:nvPicPr>
      <xdr:blipFill>
        <a:blip r:embed="rId273"/>
        <a:stretch>
          <a:fillRect/>
        </a:stretch>
      </xdr:blipFill>
      <xdr:spPr>
        <a:xfrm>
          <a:off x="933450" y="196903975"/>
          <a:ext cx="411480" cy="411480"/>
        </a:xfrm>
        <a:prstGeom prst="rect">
          <a:avLst/>
        </a:prstGeom>
      </xdr:spPr>
    </xdr:pic>
  </etc:cellImage>
  <etc:cellImage>
    <xdr:pic>
      <xdr:nvPicPr>
        <xdr:cNvPr id="565" name="ID_830D6EAF400143148B227D247FD8A482" descr="B0F3W19V2K_product_img"/>
        <xdr:cNvPicPr/>
      </xdr:nvPicPr>
      <xdr:blipFill>
        <a:blip r:embed="rId274"/>
        <a:stretch>
          <a:fillRect/>
        </a:stretch>
      </xdr:blipFill>
      <xdr:spPr>
        <a:xfrm>
          <a:off x="933450" y="307667660"/>
          <a:ext cx="411480" cy="411480"/>
        </a:xfrm>
        <a:prstGeom prst="rect">
          <a:avLst/>
        </a:prstGeom>
      </xdr:spPr>
    </xdr:pic>
  </etc:cellImage>
  <etc:cellImage>
    <xdr:pic>
      <xdr:nvPicPr>
        <xdr:cNvPr id="566" name="ID_78E81FB0A1A744B087B3C4AAF8A46018" descr="B0F4C8LQ54_product_img"/>
        <xdr:cNvPicPr/>
      </xdr:nvPicPr>
      <xdr:blipFill>
        <a:blip r:embed="rId275"/>
        <a:stretch>
          <a:fillRect/>
        </a:stretch>
      </xdr:blipFill>
      <xdr:spPr>
        <a:xfrm>
          <a:off x="933450" y="280679525"/>
          <a:ext cx="411480" cy="411480"/>
        </a:xfrm>
        <a:prstGeom prst="rect">
          <a:avLst/>
        </a:prstGeom>
      </xdr:spPr>
    </xdr:pic>
  </etc:cellImage>
  <etc:cellImage>
    <xdr:pic>
      <xdr:nvPicPr>
        <xdr:cNvPr id="569" name="ID_B4CE0FE88D9C497E8A960BA2CA5E2702" descr="B0F4QZNV88_product_img"/>
        <xdr:cNvPicPr/>
      </xdr:nvPicPr>
      <xdr:blipFill>
        <a:blip r:embed="rId276"/>
        <a:stretch>
          <a:fillRect/>
        </a:stretch>
      </xdr:blipFill>
      <xdr:spPr>
        <a:xfrm>
          <a:off x="933450" y="412937960"/>
          <a:ext cx="411480" cy="411480"/>
        </a:xfrm>
        <a:prstGeom prst="rect">
          <a:avLst/>
        </a:prstGeom>
      </xdr:spPr>
    </xdr:pic>
  </etc:cellImage>
  <etc:cellImage>
    <xdr:pic>
      <xdr:nvPicPr>
        <xdr:cNvPr id="570" name="ID_3BDB79DD1C8044798E54DC6CCA534C30" descr="B0F4R3631L_product_img"/>
        <xdr:cNvPicPr/>
      </xdr:nvPicPr>
      <xdr:blipFill>
        <a:blip r:embed="rId277"/>
        <a:stretch>
          <a:fillRect/>
        </a:stretch>
      </xdr:blipFill>
      <xdr:spPr>
        <a:xfrm>
          <a:off x="933450" y="227453825"/>
          <a:ext cx="411480" cy="411480"/>
        </a:xfrm>
        <a:prstGeom prst="rect">
          <a:avLst/>
        </a:prstGeom>
      </xdr:spPr>
    </xdr:pic>
  </etc:cellImage>
  <etc:cellImage>
    <xdr:pic>
      <xdr:nvPicPr>
        <xdr:cNvPr id="571" name="ID_AE6583C6344646DBAB686CC1CFE4A1D7" descr="B0F4RFTHCS_product_img"/>
        <xdr:cNvPicPr/>
      </xdr:nvPicPr>
      <xdr:blipFill>
        <a:blip r:embed="rId278"/>
        <a:stretch>
          <a:fillRect/>
        </a:stretch>
      </xdr:blipFill>
      <xdr:spPr>
        <a:xfrm>
          <a:off x="933450" y="363280960"/>
          <a:ext cx="411480" cy="411480"/>
        </a:xfrm>
        <a:prstGeom prst="rect">
          <a:avLst/>
        </a:prstGeom>
      </xdr:spPr>
    </xdr:pic>
  </etc:cellImage>
  <etc:cellImage>
    <xdr:pic>
      <xdr:nvPicPr>
        <xdr:cNvPr id="573" name="ID_9832FAB98B5C434C96271EEEC58E41DF" descr="B0F5HP1T9S_product_img"/>
        <xdr:cNvPicPr/>
      </xdr:nvPicPr>
      <xdr:blipFill>
        <a:blip r:embed="rId279"/>
        <a:stretch>
          <a:fillRect/>
        </a:stretch>
      </xdr:blipFill>
      <xdr:spPr>
        <a:xfrm>
          <a:off x="933450" y="347361510"/>
          <a:ext cx="411480" cy="411480"/>
        </a:xfrm>
        <a:prstGeom prst="rect">
          <a:avLst/>
        </a:prstGeom>
      </xdr:spPr>
    </xdr:pic>
  </etc:cellImage>
  <etc:cellImage>
    <xdr:pic>
      <xdr:nvPicPr>
        <xdr:cNvPr id="578" name="ID_44F7146299CB4D4D85C64B1A7B263E1A" descr="B0F6CL81RS_product_img"/>
        <xdr:cNvPicPr/>
      </xdr:nvPicPr>
      <xdr:blipFill>
        <a:blip r:embed="rId280"/>
        <a:stretch>
          <a:fillRect/>
        </a:stretch>
      </xdr:blipFill>
      <xdr:spPr>
        <a:xfrm>
          <a:off x="933450" y="292846760"/>
          <a:ext cx="411480" cy="411480"/>
        </a:xfrm>
        <a:prstGeom prst="rect">
          <a:avLst/>
        </a:prstGeom>
      </xdr:spPr>
    </xdr:pic>
  </etc:cellImage>
  <etc:cellImage>
    <xdr:pic>
      <xdr:nvPicPr>
        <xdr:cNvPr id="581" name="ID_51A3B3255CF1449A9C6FC1541C2D59BA" descr="B0F6S3Z3KZ_product_img"/>
        <xdr:cNvPicPr/>
      </xdr:nvPicPr>
      <xdr:blipFill>
        <a:blip r:embed="rId281"/>
        <a:stretch>
          <a:fillRect/>
        </a:stretch>
      </xdr:blipFill>
      <xdr:spPr>
        <a:xfrm>
          <a:off x="933450" y="274094575"/>
          <a:ext cx="411480" cy="411480"/>
        </a:xfrm>
        <a:prstGeom prst="rect">
          <a:avLst/>
        </a:prstGeom>
      </xdr:spPr>
    </xdr:pic>
  </etc:cellImage>
  <etc:cellImage>
    <xdr:pic>
      <xdr:nvPicPr>
        <xdr:cNvPr id="583" name="ID_E3E9C799190142ACA286C7F89CB7D544" descr="B0F7J388F8_product_img"/>
        <xdr:cNvPicPr/>
      </xdr:nvPicPr>
      <xdr:blipFill>
        <a:blip r:embed="rId282"/>
        <a:stretch>
          <a:fillRect/>
        </a:stretch>
      </xdr:blipFill>
      <xdr:spPr>
        <a:xfrm>
          <a:off x="933450" y="309223410"/>
          <a:ext cx="411480" cy="411480"/>
        </a:xfrm>
        <a:prstGeom prst="rect">
          <a:avLst/>
        </a:prstGeom>
      </xdr:spPr>
    </xdr:pic>
  </etc:cellImage>
  <etc:cellImage>
    <xdr:pic>
      <xdr:nvPicPr>
        <xdr:cNvPr id="585" name="ID_B25E31A153C448DE897155468702BF61" descr="B0F7RH3D8T_product_img"/>
        <xdr:cNvPicPr/>
      </xdr:nvPicPr>
      <xdr:blipFill>
        <a:blip r:embed="rId283"/>
        <a:stretch>
          <a:fillRect/>
        </a:stretch>
      </xdr:blipFill>
      <xdr:spPr>
        <a:xfrm>
          <a:off x="933450" y="326965310"/>
          <a:ext cx="411480" cy="411480"/>
        </a:xfrm>
        <a:prstGeom prst="rect">
          <a:avLst/>
        </a:prstGeom>
      </xdr:spPr>
    </xdr:pic>
  </etc:cellImage>
  <etc:cellImage>
    <xdr:pic>
      <xdr:nvPicPr>
        <xdr:cNvPr id="589" name="ID_F77B81E2D2D74CAF9A45886FC0EBECE9" descr="B0F7WKR1DK_product_img"/>
        <xdr:cNvPicPr/>
      </xdr:nvPicPr>
      <xdr:blipFill>
        <a:blip r:embed="rId284"/>
        <a:stretch>
          <a:fillRect/>
        </a:stretch>
      </xdr:blipFill>
      <xdr:spPr>
        <a:xfrm>
          <a:off x="933450" y="446319910"/>
          <a:ext cx="411480" cy="411480"/>
        </a:xfrm>
        <a:prstGeom prst="rect">
          <a:avLst/>
        </a:prstGeom>
      </xdr:spPr>
    </xdr:pic>
  </etc:cellImage>
  <etc:cellImage>
    <xdr:pic>
      <xdr:nvPicPr>
        <xdr:cNvPr id="591" name="ID_FF22BF23E38A499C9F2E59B5050F8AAC" descr="B0F7Z7CKJL_product_img"/>
        <xdr:cNvPicPr/>
      </xdr:nvPicPr>
      <xdr:blipFill>
        <a:blip r:embed="rId285"/>
        <a:stretch>
          <a:fillRect/>
        </a:stretch>
      </xdr:blipFill>
      <xdr:spPr>
        <a:xfrm>
          <a:off x="933450" y="312150760"/>
          <a:ext cx="411480" cy="411480"/>
        </a:xfrm>
        <a:prstGeom prst="rect">
          <a:avLst/>
        </a:prstGeom>
      </xdr:spPr>
    </xdr:pic>
  </etc:cellImage>
  <etc:cellImage>
    <xdr:pic>
      <xdr:nvPicPr>
        <xdr:cNvPr id="593" name="ID_3DE9632CCB8D44B29277F889A5C66DDC" descr="B0F8HBSSSB_product_img"/>
        <xdr:cNvPicPr/>
      </xdr:nvPicPr>
      <xdr:blipFill>
        <a:blip r:embed="rId286"/>
        <a:stretch>
          <a:fillRect/>
        </a:stretch>
      </xdr:blipFill>
      <xdr:spPr>
        <a:xfrm>
          <a:off x="933450" y="227911025"/>
          <a:ext cx="411480" cy="411480"/>
        </a:xfrm>
        <a:prstGeom prst="rect">
          <a:avLst/>
        </a:prstGeom>
      </xdr:spPr>
    </xdr:pic>
  </etc:cellImage>
  <etc:cellImage>
    <xdr:pic>
      <xdr:nvPicPr>
        <xdr:cNvPr id="595" name="ID_CA8D5C334B1A477DA5C9A468E6435540" descr="B0F8HY86GV_product_img"/>
        <xdr:cNvPicPr/>
      </xdr:nvPicPr>
      <xdr:blipFill>
        <a:blip r:embed="rId287"/>
        <a:stretch>
          <a:fillRect/>
        </a:stretch>
      </xdr:blipFill>
      <xdr:spPr>
        <a:xfrm>
          <a:off x="933450" y="491316010"/>
          <a:ext cx="411480" cy="411480"/>
        </a:xfrm>
        <a:prstGeom prst="rect">
          <a:avLst/>
        </a:prstGeom>
      </xdr:spPr>
    </xdr:pic>
  </etc:cellImage>
  <etc:cellImage>
    <xdr:pic>
      <xdr:nvPicPr>
        <xdr:cNvPr id="596" name="ID_E8035E0311074DE08202548020E52918" descr="B0F8MZ379M_product_img"/>
        <xdr:cNvPicPr/>
      </xdr:nvPicPr>
      <xdr:blipFill>
        <a:blip r:embed="rId214"/>
        <a:stretch>
          <a:fillRect/>
        </a:stretch>
      </xdr:blipFill>
      <xdr:spPr>
        <a:xfrm>
          <a:off x="933450" y="421535860"/>
          <a:ext cx="411480" cy="411480"/>
        </a:xfrm>
        <a:prstGeom prst="rect">
          <a:avLst/>
        </a:prstGeom>
      </xdr:spPr>
    </xdr:pic>
  </etc:cellImage>
  <etc:cellImage>
    <xdr:pic>
      <xdr:nvPicPr>
        <xdr:cNvPr id="597" name="ID_25AC7F5031B842B797C2A689FD3A4392" descr="B0F8NM322Y_product_img"/>
        <xdr:cNvPicPr/>
      </xdr:nvPicPr>
      <xdr:blipFill>
        <a:blip r:embed="rId288"/>
        <a:stretch>
          <a:fillRect/>
        </a:stretch>
      </xdr:blipFill>
      <xdr:spPr>
        <a:xfrm>
          <a:off x="933450" y="75364975"/>
          <a:ext cx="411480" cy="411480"/>
        </a:xfrm>
        <a:prstGeom prst="rect">
          <a:avLst/>
        </a:prstGeom>
      </xdr:spPr>
    </xdr:pic>
  </etc:cellImage>
  <etc:cellImage>
    <xdr:pic>
      <xdr:nvPicPr>
        <xdr:cNvPr id="600" name="ID_B63E676ABCA3432B89642607FBA6B06B" descr="B0F8PYVTXS_product_img"/>
        <xdr:cNvPicPr/>
      </xdr:nvPicPr>
      <xdr:blipFill>
        <a:blip r:embed="rId289"/>
        <a:stretch>
          <a:fillRect/>
        </a:stretch>
      </xdr:blipFill>
      <xdr:spPr>
        <a:xfrm>
          <a:off x="933450" y="344618310"/>
          <a:ext cx="411480" cy="411480"/>
        </a:xfrm>
        <a:prstGeom prst="rect">
          <a:avLst/>
        </a:prstGeom>
      </xdr:spPr>
    </xdr:pic>
  </etc:cellImage>
  <etc:cellImage>
    <xdr:pic>
      <xdr:nvPicPr>
        <xdr:cNvPr id="607" name="ID_89AE5ABD57B7430AB02E5303B6F8CBF8" descr="B0F8VFQW4T_product_img"/>
        <xdr:cNvPicPr/>
      </xdr:nvPicPr>
      <xdr:blipFill>
        <a:blip r:embed="rId290"/>
        <a:stretch>
          <a:fillRect/>
        </a:stretch>
      </xdr:blipFill>
      <xdr:spPr>
        <a:xfrm>
          <a:off x="933450" y="496802410"/>
          <a:ext cx="411480" cy="411480"/>
        </a:xfrm>
        <a:prstGeom prst="rect">
          <a:avLst/>
        </a:prstGeom>
      </xdr:spPr>
    </xdr:pic>
  </etc:cellImage>
  <etc:cellImage>
    <xdr:pic>
      <xdr:nvPicPr>
        <xdr:cNvPr id="608" name="ID_B8BE2FA50BD449149EB77D17C7ED100B" descr="B0F8VHV4HT_product_img"/>
        <xdr:cNvPicPr/>
      </xdr:nvPicPr>
      <xdr:blipFill>
        <a:blip r:embed="rId291"/>
        <a:stretch>
          <a:fillRect/>
        </a:stretch>
      </xdr:blipFill>
      <xdr:spPr>
        <a:xfrm>
          <a:off x="933450" y="282051760"/>
          <a:ext cx="411480" cy="411480"/>
        </a:xfrm>
        <a:prstGeom prst="rect">
          <a:avLst/>
        </a:prstGeom>
      </xdr:spPr>
    </xdr:pic>
  </etc:cellImage>
  <etc:cellImage>
    <xdr:pic>
      <xdr:nvPicPr>
        <xdr:cNvPr id="610" name="ID_7AD00D6FE12443E6A700585D0B5EC76D" descr="B0F8W1YG6M_product_img"/>
        <xdr:cNvPicPr/>
      </xdr:nvPicPr>
      <xdr:blipFill>
        <a:blip r:embed="rId292"/>
        <a:stretch>
          <a:fillRect/>
        </a:stretch>
      </xdr:blipFill>
      <xdr:spPr>
        <a:xfrm>
          <a:off x="933450" y="166176325"/>
          <a:ext cx="411480" cy="411480"/>
        </a:xfrm>
        <a:prstGeom prst="rect">
          <a:avLst/>
        </a:prstGeom>
      </xdr:spPr>
    </xdr:pic>
  </etc:cellImage>
  <etc:cellImage>
    <xdr:pic>
      <xdr:nvPicPr>
        <xdr:cNvPr id="611" name="ID_148BE5BCA4D04809B67C012311BDC4FA" descr="B0F8W2LJZC_product_img"/>
        <xdr:cNvPicPr/>
      </xdr:nvPicPr>
      <xdr:blipFill>
        <a:blip r:embed="rId293"/>
        <a:stretch>
          <a:fillRect/>
        </a:stretch>
      </xdr:blipFill>
      <xdr:spPr>
        <a:xfrm>
          <a:off x="933450" y="91646375"/>
          <a:ext cx="411480" cy="411480"/>
        </a:xfrm>
        <a:prstGeom prst="rect">
          <a:avLst/>
        </a:prstGeom>
      </xdr:spPr>
    </xdr:pic>
  </etc:cellImage>
  <etc:cellImage>
    <xdr:pic>
      <xdr:nvPicPr>
        <xdr:cNvPr id="613" name="ID_678E8F351E5648AFBFFB0F0A1321EB5F" descr="B0F9FMQ27V_product_img"/>
        <xdr:cNvPicPr/>
      </xdr:nvPicPr>
      <xdr:blipFill>
        <a:blip r:embed="rId294"/>
        <a:stretch>
          <a:fillRect/>
        </a:stretch>
      </xdr:blipFill>
      <xdr:spPr>
        <a:xfrm>
          <a:off x="933450" y="81492725"/>
          <a:ext cx="411480" cy="411480"/>
        </a:xfrm>
        <a:prstGeom prst="rect">
          <a:avLst/>
        </a:prstGeom>
      </xdr:spPr>
    </xdr:pic>
  </etc:cellImage>
  <etc:cellImage>
    <xdr:pic>
      <xdr:nvPicPr>
        <xdr:cNvPr id="615" name="ID_2AF31A7A57B04C56BCAA79B6AF0617C1" descr="B0F9P5JM77_product_img"/>
        <xdr:cNvPicPr/>
      </xdr:nvPicPr>
      <xdr:blipFill>
        <a:blip r:embed="rId295"/>
        <a:stretch>
          <a:fillRect/>
        </a:stretch>
      </xdr:blipFill>
      <xdr:spPr>
        <a:xfrm>
          <a:off x="933450" y="389436610"/>
          <a:ext cx="411480" cy="411480"/>
        </a:xfrm>
        <a:prstGeom prst="rect">
          <a:avLst/>
        </a:prstGeom>
      </xdr:spPr>
    </xdr:pic>
  </etc:cellImage>
  <etc:cellImage>
    <xdr:pic>
      <xdr:nvPicPr>
        <xdr:cNvPr id="616" name="ID_480720CCDA3041308A60B614D90035E3" descr="B0F9P52F94_product_img"/>
        <xdr:cNvPicPr/>
      </xdr:nvPicPr>
      <xdr:blipFill>
        <a:blip r:embed="rId296"/>
        <a:stretch>
          <a:fillRect/>
        </a:stretch>
      </xdr:blipFill>
      <xdr:spPr>
        <a:xfrm>
          <a:off x="933450" y="156575125"/>
          <a:ext cx="411480" cy="411480"/>
        </a:xfrm>
        <a:prstGeom prst="rect">
          <a:avLst/>
        </a:prstGeom>
      </xdr:spPr>
    </xdr:pic>
  </etc:cellImage>
  <etc:cellImage>
    <xdr:pic>
      <xdr:nvPicPr>
        <xdr:cNvPr id="618" name="ID_14918147AEDA46E0B9B5158AF0BCF882" descr="B0F9WMCMZR_product_img"/>
        <xdr:cNvPicPr/>
      </xdr:nvPicPr>
      <xdr:blipFill>
        <a:blip r:embed="rId297"/>
        <a:stretch>
          <a:fillRect/>
        </a:stretch>
      </xdr:blipFill>
      <xdr:spPr>
        <a:xfrm>
          <a:off x="933450" y="169376725"/>
          <a:ext cx="411480" cy="411480"/>
        </a:xfrm>
        <a:prstGeom prst="rect">
          <a:avLst/>
        </a:prstGeom>
      </xdr:spPr>
    </xdr:pic>
  </etc:cellImage>
  <etc:cellImage>
    <xdr:pic>
      <xdr:nvPicPr>
        <xdr:cNvPr id="623" name="ID_9C6E28D3CB264AD6A4FD92566BBE3B63" descr="B0F18YSSBT_product_img"/>
        <xdr:cNvPicPr/>
      </xdr:nvPicPr>
      <xdr:blipFill>
        <a:blip r:embed="rId298"/>
        <a:stretch>
          <a:fillRect/>
        </a:stretch>
      </xdr:blipFill>
      <xdr:spPr>
        <a:xfrm>
          <a:off x="933450" y="96218375"/>
          <a:ext cx="411480" cy="411480"/>
        </a:xfrm>
        <a:prstGeom prst="rect">
          <a:avLst/>
        </a:prstGeom>
      </xdr:spPr>
    </xdr:pic>
  </etc:cellImage>
  <etc:cellImage>
    <xdr:pic>
      <xdr:nvPicPr>
        <xdr:cNvPr id="639" name="ID_CA0D6D4C85BE4CD29E1513BC0BF9A9E4" descr="B0F63KS989_product_img"/>
        <xdr:cNvPicPr/>
      </xdr:nvPicPr>
      <xdr:blipFill>
        <a:blip r:embed="rId299"/>
        <a:stretch>
          <a:fillRect/>
        </a:stretch>
      </xdr:blipFill>
      <xdr:spPr>
        <a:xfrm>
          <a:off x="933450" y="453362060"/>
          <a:ext cx="411480" cy="411480"/>
        </a:xfrm>
        <a:prstGeom prst="rect">
          <a:avLst/>
        </a:prstGeom>
      </xdr:spPr>
    </xdr:pic>
  </etc:cellImage>
  <etc:cellImage>
    <xdr:pic>
      <xdr:nvPicPr>
        <xdr:cNvPr id="640" name="ID_0001023DEE9247DC97B82A4F1567DB48" descr="B0F66RPDWY_product_img"/>
        <xdr:cNvPicPr/>
      </xdr:nvPicPr>
      <xdr:blipFill>
        <a:blip r:embed="rId300"/>
        <a:stretch>
          <a:fillRect/>
        </a:stretch>
      </xdr:blipFill>
      <xdr:spPr>
        <a:xfrm>
          <a:off x="933450" y="276565360"/>
          <a:ext cx="411480" cy="411480"/>
        </a:xfrm>
        <a:prstGeom prst="rect">
          <a:avLst/>
        </a:prstGeom>
      </xdr:spPr>
    </xdr:pic>
  </etc:cellImage>
  <etc:cellImage>
    <xdr:pic>
      <xdr:nvPicPr>
        <xdr:cNvPr id="649" name="ID_98F666309B794281ACB551CDE46DFC16" descr="B0F663GW4P_product_img"/>
        <xdr:cNvPicPr/>
      </xdr:nvPicPr>
      <xdr:blipFill>
        <a:blip r:embed="rId301"/>
        <a:stretch>
          <a:fillRect/>
        </a:stretch>
      </xdr:blipFill>
      <xdr:spPr>
        <a:xfrm>
          <a:off x="933450" y="470646760"/>
          <a:ext cx="411480" cy="411480"/>
        </a:xfrm>
        <a:prstGeom prst="rect">
          <a:avLst/>
        </a:prstGeom>
      </xdr:spPr>
    </xdr:pic>
  </etc:cellImage>
  <etc:cellImage>
    <xdr:pic>
      <xdr:nvPicPr>
        <xdr:cNvPr id="651" name="ID_4650BCC90E5643D2840BDBF59BA9B334" descr="B0F49768HG_product_img"/>
        <xdr:cNvPicPr/>
      </xdr:nvPicPr>
      <xdr:blipFill>
        <a:blip r:embed="rId302"/>
        <a:stretch>
          <a:fillRect/>
        </a:stretch>
      </xdr:blipFill>
      <xdr:spPr>
        <a:xfrm>
          <a:off x="933450" y="328336910"/>
          <a:ext cx="411480" cy="411480"/>
        </a:xfrm>
        <a:prstGeom prst="rect">
          <a:avLst/>
        </a:prstGeom>
      </xdr:spPr>
    </xdr:pic>
  </etc:cellImage>
  <etc:cellImage>
    <xdr:pic>
      <xdr:nvPicPr>
        <xdr:cNvPr id="658" name="ID_420FE045CADE452BBD9F2971564CFDD1" descr="B0FB93X5ZH_product_img"/>
        <xdr:cNvPicPr/>
      </xdr:nvPicPr>
      <xdr:blipFill>
        <a:blip r:embed="rId303"/>
        <a:stretch>
          <a:fillRect/>
        </a:stretch>
      </xdr:blipFill>
      <xdr:spPr>
        <a:xfrm>
          <a:off x="933450" y="68049775"/>
          <a:ext cx="411480" cy="411480"/>
        </a:xfrm>
        <a:prstGeom prst="rect">
          <a:avLst/>
        </a:prstGeom>
      </xdr:spPr>
    </xdr:pic>
  </etc:cellImage>
  <etc:cellImage>
    <xdr:pic>
      <xdr:nvPicPr>
        <xdr:cNvPr id="660" name="ID_C82B0026C8044463B68DF5355D1292E5" descr="B0FBJ32L8G_product_img"/>
        <xdr:cNvPicPr/>
      </xdr:nvPicPr>
      <xdr:blipFill>
        <a:blip r:embed="rId304"/>
        <a:stretch>
          <a:fillRect/>
        </a:stretch>
      </xdr:blipFill>
      <xdr:spPr>
        <a:xfrm>
          <a:off x="933450" y="415408110"/>
          <a:ext cx="411480" cy="411480"/>
        </a:xfrm>
        <a:prstGeom prst="rect">
          <a:avLst/>
        </a:prstGeom>
      </xdr:spPr>
    </xdr:pic>
  </etc:cellImage>
  <etc:cellImage>
    <xdr:pic>
      <xdr:nvPicPr>
        <xdr:cNvPr id="662" name="ID_DBC7637D11434ED1B3ADED7C22ADFC82" descr="B0FBS2HW25_product_img"/>
        <xdr:cNvPicPr/>
      </xdr:nvPicPr>
      <xdr:blipFill>
        <a:blip r:embed="rId305"/>
        <a:stretch>
          <a:fillRect/>
        </a:stretch>
      </xdr:blipFill>
      <xdr:spPr>
        <a:xfrm>
          <a:off x="933450" y="315351160"/>
          <a:ext cx="411480" cy="411480"/>
        </a:xfrm>
        <a:prstGeom prst="rect">
          <a:avLst/>
        </a:prstGeom>
      </xdr:spPr>
    </xdr:pic>
  </etc:cellImage>
  <etc:cellImage>
    <xdr:pic>
      <xdr:nvPicPr>
        <xdr:cNvPr id="668" name="ID_BBD75326FA124C97917DA9D279675EE2" descr="B0FC3235WR_product_img"/>
        <xdr:cNvPicPr/>
      </xdr:nvPicPr>
      <xdr:blipFill>
        <a:blip r:embed="rId306"/>
        <a:stretch>
          <a:fillRect/>
        </a:stretch>
      </xdr:blipFill>
      <xdr:spPr>
        <a:xfrm>
          <a:off x="933450" y="200104375"/>
          <a:ext cx="411480" cy="411480"/>
        </a:xfrm>
        <a:prstGeom prst="rect">
          <a:avLst/>
        </a:prstGeom>
      </xdr:spPr>
    </xdr:pic>
  </etc:cellImage>
  <etc:cellImage>
    <xdr:pic>
      <xdr:nvPicPr>
        <xdr:cNvPr id="673" name="ID_110326D40AAC44689B3B50EC334ED380" descr="B0FCSFDTFZ_product_img"/>
        <xdr:cNvPicPr/>
      </xdr:nvPicPr>
      <xdr:blipFill>
        <a:blip r:embed="rId307"/>
        <a:stretch>
          <a:fillRect/>
        </a:stretch>
      </xdr:blipFill>
      <xdr:spPr>
        <a:xfrm>
          <a:off x="933450" y="458575410"/>
          <a:ext cx="411480" cy="411480"/>
        </a:xfrm>
        <a:prstGeom prst="rect">
          <a:avLst/>
        </a:prstGeom>
      </xdr:spPr>
    </xdr:pic>
  </etc:cellImage>
  <etc:cellImage>
    <xdr:pic>
      <xdr:nvPicPr>
        <xdr:cNvPr id="675" name="ID_A8847CA679B24F89B45ACA507EF94DED" descr="B0FD9R9K9R_product_img"/>
        <xdr:cNvPicPr/>
      </xdr:nvPicPr>
      <xdr:blipFill>
        <a:blip r:embed="rId308"/>
        <a:stretch>
          <a:fillRect/>
        </a:stretch>
      </xdr:blipFill>
      <xdr:spPr>
        <a:xfrm>
          <a:off x="933450" y="82591275"/>
          <a:ext cx="411480" cy="411480"/>
        </a:xfrm>
        <a:prstGeom prst="rect">
          <a:avLst/>
        </a:prstGeom>
      </xdr:spPr>
    </xdr:pic>
  </etc:cellImage>
  <etc:cellImage>
    <xdr:pic>
      <xdr:nvPicPr>
        <xdr:cNvPr id="679" name="ID_9A0FEDFCC975479CB4F92D57A93B948B" descr="B0FDGMGWK1_product_img"/>
        <xdr:cNvPicPr/>
      </xdr:nvPicPr>
      <xdr:blipFill>
        <a:blip r:embed="rId309"/>
        <a:stretch>
          <a:fillRect/>
        </a:stretch>
      </xdr:blipFill>
      <xdr:spPr>
        <a:xfrm>
          <a:off x="933450" y="172577125"/>
          <a:ext cx="411480" cy="411480"/>
        </a:xfrm>
        <a:prstGeom prst="rect">
          <a:avLst/>
        </a:prstGeom>
      </xdr:spPr>
    </xdr:pic>
  </etc:cellImage>
  <etc:cellImage>
    <xdr:pic>
      <xdr:nvPicPr>
        <xdr:cNvPr id="691" name="ID_C8D083D3815F4BC79F892F6F474FF3D3" descr="B0FFGFZJB3_product_img"/>
        <xdr:cNvPicPr/>
      </xdr:nvPicPr>
      <xdr:blipFill>
        <a:blip r:embed="rId310"/>
        <a:stretch>
          <a:fillRect/>
        </a:stretch>
      </xdr:blipFill>
      <xdr:spPr>
        <a:xfrm>
          <a:off x="933450" y="418335460"/>
          <a:ext cx="411480" cy="411480"/>
        </a:xfrm>
        <a:prstGeom prst="rect">
          <a:avLst/>
        </a:prstGeom>
      </xdr:spPr>
    </xdr:pic>
  </etc:cellImage>
  <etc:cellImage>
    <xdr:pic>
      <xdr:nvPicPr>
        <xdr:cNvPr id="701" name="ID_5C7B296B90F44CF99529D0119A15B1BC" descr="B0FG7CBL74_product_img"/>
        <xdr:cNvPicPr/>
      </xdr:nvPicPr>
      <xdr:blipFill>
        <a:blip r:embed="rId311"/>
        <a:stretch>
          <a:fillRect/>
        </a:stretch>
      </xdr:blipFill>
      <xdr:spPr>
        <a:xfrm>
          <a:off x="933450" y="420621460"/>
          <a:ext cx="411480" cy="411480"/>
        </a:xfrm>
        <a:prstGeom prst="rect">
          <a:avLst/>
        </a:prstGeom>
      </xdr:spPr>
    </xdr:pic>
  </etc:cellImage>
  <etc:cellImage>
    <xdr:pic>
      <xdr:nvPicPr>
        <xdr:cNvPr id="702" name="ID_1B4244FAA47341D7A9B42464EAE9095D" descr="B0FG7N86S9_product_img"/>
        <xdr:cNvPicPr/>
      </xdr:nvPicPr>
      <xdr:blipFill>
        <a:blip r:embed="rId312"/>
        <a:stretch>
          <a:fillRect/>
        </a:stretch>
      </xdr:blipFill>
      <xdr:spPr>
        <a:xfrm>
          <a:off x="933450" y="479517710"/>
          <a:ext cx="411480" cy="411480"/>
        </a:xfrm>
        <a:prstGeom prst="rect">
          <a:avLst/>
        </a:prstGeom>
      </xdr:spPr>
    </xdr:pic>
  </etc:cellImage>
  <etc:cellImage>
    <xdr:pic>
      <xdr:nvPicPr>
        <xdr:cNvPr id="706" name="ID_02C719F68D6144DF9334E52BBD59D9FF" descr="B0FG7618X4_product_img"/>
        <xdr:cNvPicPr/>
      </xdr:nvPicPr>
      <xdr:blipFill>
        <a:blip r:embed="rId313"/>
        <a:stretch>
          <a:fillRect/>
        </a:stretch>
      </xdr:blipFill>
      <xdr:spPr>
        <a:xfrm>
          <a:off x="933450" y="67135375"/>
          <a:ext cx="411480" cy="41148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<sst xmlns="http://schemas.openxmlformats.org/spreadsheetml/2006/main" count="3393" uniqueCount="1166">
  <si>
    <t>ASIN</t>
  </si>
  <si>
    <r>
      <t>图片</t>
    </r>
    <r>
      <rPr>
        <sz val="11"/>
        <color rgb="FFFFFFFF"/>
        <rFont val="Calibri"/>
        <charset val="134"/>
      </rPr>
      <t xml:space="preserve"> (</t>
    </r>
    <r>
      <rPr>
        <sz val="11"/>
        <color rgb="FFFFFFFF"/>
        <rFont val="宋体"/>
        <charset val="134"/>
      </rPr>
      <t>数据来源于西柚找词</t>
    </r>
    <r>
      <rPr>
        <sz val="11"/>
        <color rgb="FFFFFFFF"/>
        <rFont val="Calibri"/>
        <charset val="134"/>
      </rPr>
      <t>)</t>
    </r>
  </si>
  <si>
    <t>商品标题</t>
  </si>
  <si>
    <t>价格</t>
  </si>
  <si>
    <t>Review评分</t>
  </si>
  <si>
    <t>Review数量</t>
  </si>
  <si>
    <t>近30天订单量</t>
  </si>
  <si>
    <t>流量</t>
  </si>
  <si>
    <t>流量占比</t>
  </si>
  <si>
    <t>自然流量</t>
  </si>
  <si>
    <t>广告流量</t>
  </si>
  <si>
    <t>流量分布(自然)</t>
  </si>
  <si>
    <t>流量分布(广告)</t>
  </si>
  <si>
    <t>流量获得率</t>
  </si>
  <si>
    <t>自然流量获得率</t>
  </si>
  <si>
    <t>广告流量获得率</t>
  </si>
  <si>
    <t>展示位置</t>
  </si>
  <si>
    <t>自然排名</t>
  </si>
  <si>
    <t>自然排名(页码-页内排名)</t>
  </si>
  <si>
    <t>抓取时间</t>
  </si>
  <si>
    <t>sp广告排名</t>
  </si>
  <si>
    <t>sp广告排名(页码-页内排名)</t>
  </si>
  <si>
    <t>7天流量得分</t>
  </si>
  <si>
    <t>自然流量得分</t>
  </si>
  <si>
    <t>广告流量得分</t>
  </si>
  <si>
    <t>B0F541YHB3</t>
  </si>
  <si>
    <t>Verfubo Red Light Therapy for Face &amp; Neck, Red Light Mask with 850nm NIR, 7-1 Colors LED Light Therapy mask, Rechargeable LED Face &amp; Neck Mask for Anti-Aging, Skin Firming &amp; Radiant Glow at Home</t>
  </si>
  <si>
    <t>4.6</t>
  </si>
  <si>
    <t>408</t>
  </si>
  <si>
    <t>AC,自然,SOR,SP</t>
  </si>
  <si>
    <t>P1-6</t>
  </si>
  <si>
    <t>美01月21日 17:01</t>
  </si>
  <si>
    <t>P2-4</t>
  </si>
  <si>
    <t>美01月20日 07:00</t>
  </si>
  <si>
    <t>B0F1TPH78Q</t>
  </si>
  <si>
    <t>Red Light Therapy Mask for Face,Cordless LED Face Mask Light Therapy,USB C Rechargeable,Infrared Lights Masks for Home Working Travel Yoga Sleep</t>
  </si>
  <si>
    <t>4.5</t>
  </si>
  <si>
    <t>182</t>
  </si>
  <si>
    <t>自然,SOR,SP</t>
  </si>
  <si>
    <t>P1-2</t>
  </si>
  <si>
    <t>P1-4</t>
  </si>
  <si>
    <t>美01月20日 17:00</t>
  </si>
  <si>
    <t>B0FX3STD3X</t>
  </si>
  <si>
    <t>LED Light Therapy Mask Skin Care Mask,Cordless LED Face Mask face &amp; neck Red &amp; Infrared Lights Masks Wavelength,USB C Rechargeable for Home Use Working Travel Yoga (Sakura Pink）</t>
  </si>
  <si>
    <t>103</t>
  </si>
  <si>
    <t>SOR,SP,自然,SBV</t>
  </si>
  <si>
    <t>P1-11</t>
  </si>
  <si>
    <t>P1-1</t>
  </si>
  <si>
    <t>B0CT5FK2YF</t>
  </si>
  <si>
    <t>INTEO Red Light Therapy for Face, 3 Modes Portable Led Face Mask Light Therapy with Remote, Near-infrared 850 Red Light Mask with Timing Function, Led Light Therapy At Home 180 LED Beads</t>
  </si>
  <si>
    <t>2162</t>
  </si>
  <si>
    <t>美01月21日 13:01</t>
  </si>
  <si>
    <t>B0F18BBHCC</t>
  </si>
  <si>
    <t>INIA Red Light Therapy Mask for Face – 4 Light Modes with 850nm NIR, Red &amp; Blue LED Light Therapy, 2600mAh Rechargeable LED Face Mask for Radiant Glow at Home, Black</t>
  </si>
  <si>
    <t>431</t>
  </si>
  <si>
    <t>SP,自然,SBV,SOR</t>
  </si>
  <si>
    <t>P1-3</t>
  </si>
  <si>
    <t>B0D7N2KWLH</t>
  </si>
  <si>
    <t>iRestore LED Face Mask for Youthful Skin, Red Light Therapy for Face, Red, Blue &amp; Infrared Therapy for Wrinkles, Fine Lines, Dark Spots with 360 LEDs, Skincare Device for Women &amp; Men</t>
  </si>
  <si>
    <t>520</t>
  </si>
  <si>
    <t>自然,SB,SBV,SOR,SP</t>
  </si>
  <si>
    <t>P1-29</t>
  </si>
  <si>
    <t>美01月19日 22:02</t>
  </si>
  <si>
    <t>B0DD7HJ7YL</t>
  </si>
  <si>
    <t>INIA Red Light Therapy Mask for Face, Glow Wireless LED Face Mask Light Therapy with Near-Infrared Red Light (NIR), Rechargeable and Ergonomic Design for Home &amp; Travel</t>
  </si>
  <si>
    <t>4.4</t>
  </si>
  <si>
    <t>657</t>
  </si>
  <si>
    <t>自然,SBV,SOR,SP</t>
  </si>
  <si>
    <t>P1-18</t>
  </si>
  <si>
    <t>P2-3</t>
  </si>
  <si>
    <t>美01月21日 16:02</t>
  </si>
  <si>
    <t>B0DT14FRPG</t>
  </si>
  <si>
    <t>Ulike ReGlow LED Light Therapy Mask, Red Light Therapy for Face, 4 Modes with Red, Blue, Yellow &amp; Infrared Lights for Reduce Acne &amp; Anti-Aging, Eye-Protection, 272 Beads, Remote Control,White</t>
  </si>
  <si>
    <t>301</t>
  </si>
  <si>
    <t>SB,SBV,SOR,SP,自然</t>
  </si>
  <si>
    <t>P1-33</t>
  </si>
  <si>
    <t>P1-12</t>
  </si>
  <si>
    <t>美01月18日 22:00</t>
  </si>
  <si>
    <t>B08NCRHNW9</t>
  </si>
  <si>
    <t>Dr. Dennis Gross DRx SpectraLite FaceWare Pro – LED Face Mask for Skin Rejuvenation with Dual Red &amp; Blue Light Therapy, FSA HSA Eligible</t>
  </si>
  <si>
    <t>3.7</t>
  </si>
  <si>
    <t>512</t>
  </si>
  <si>
    <t>SP,自然,SBV</t>
  </si>
  <si>
    <t>P1-26</t>
  </si>
  <si>
    <t>美01月20日 23:00</t>
  </si>
  <si>
    <t>B0FHBCKF9L</t>
  </si>
  <si>
    <t>Red Light Therapy for Face 4 Modes, Breathable Red Light Therapy Mask with 4 Color Light Modes, 850NM Infrared LED Face Mask Light Therapy with Timer, Portable Led Mask for Home &amp; Travel</t>
  </si>
  <si>
    <t>4.9</t>
  </si>
  <si>
    <t>133</t>
  </si>
  <si>
    <t>P1-22</t>
  </si>
  <si>
    <t>美01月20日 00:32</t>
  </si>
  <si>
    <t>美01月19日 11:02</t>
  </si>
  <si>
    <t>B0FQJ9HNNS</t>
  </si>
  <si>
    <t>Red Light Therapy Mask for Face &amp; Neck, LED Face Light Therapy,USB C Rechargeable,Infrared Mask for Home Working Travel Yoga (Blush)</t>
  </si>
  <si>
    <t>116</t>
  </si>
  <si>
    <t>自然</t>
  </si>
  <si>
    <t>P1-20</t>
  </si>
  <si>
    <t>-</t>
  </si>
  <si>
    <t>B0CZXCRSTF</t>
  </si>
  <si>
    <t>SUERBEATY Red Light Mask For Face, 7-1 Colors Red Light Face Mask, Facial Skincare At Home, Cordless, Portable and Rechargeable</t>
  </si>
  <si>
    <t>4</t>
  </si>
  <si>
    <t>304</t>
  </si>
  <si>
    <t>SP,自然,SOR</t>
  </si>
  <si>
    <t>P2-5</t>
  </si>
  <si>
    <t>P1-9</t>
  </si>
  <si>
    <t>B0FJS8ZQWS</t>
  </si>
  <si>
    <t>RENPHO Red Light Therapy Mask for Face 2026, Valentines Day Choice for Women Mom Wife, 324 LEDs Full Face Coverage &amp; 3 Light Modes, Cordless LED Red Light Therapy Face Mask for Home Use &amp; Travel</t>
  </si>
  <si>
    <t>4.7</t>
  </si>
  <si>
    <t>78</t>
  </si>
  <si>
    <t>SBV,SOR,SP,自然</t>
  </si>
  <si>
    <t>P1-16</t>
  </si>
  <si>
    <t>P1-7</t>
  </si>
  <si>
    <t>美01月21日 09:01</t>
  </si>
  <si>
    <t>B0FMXH8STX</t>
  </si>
  <si>
    <t>Red Light Therapy for Face and Neck, 4 Modes Cordless Face Mask Light Therapy with Neck Masks, 850nm Infrared &amp; Red Light Mask, 2000mAh Rechargeable Light Therapy Skin Care at Home (680 Beads)</t>
  </si>
  <si>
    <t>5</t>
  </si>
  <si>
    <t>33</t>
  </si>
  <si>
    <t>P1-5</t>
  </si>
  <si>
    <t>P1-10</t>
  </si>
  <si>
    <t>美01月19日 02:00</t>
  </si>
  <si>
    <t>B0G6SP6NC3</t>
  </si>
  <si>
    <t>Red Light for Face and Neck, 7 Colors Facial Skin Care Tool for Home Use</t>
  </si>
  <si>
    <t>57</t>
  </si>
  <si>
    <t>P1-19</t>
  </si>
  <si>
    <t>P3-11</t>
  </si>
  <si>
    <t>美01月18日 23:02</t>
  </si>
  <si>
    <t>B0FXFDFNV9</t>
  </si>
  <si>
    <t>SDKWDH Red Light Photon Facial Mask with Remote Control, 7 Custom Modes with Infrared, Portable with Timer for Home Use</t>
  </si>
  <si>
    <t>4.8</t>
  </si>
  <si>
    <t>168</t>
  </si>
  <si>
    <t>P1-17</t>
  </si>
  <si>
    <t>美01月19日 04:00</t>
  </si>
  <si>
    <t>B0CR3PBQ25</t>
  </si>
  <si>
    <t>MEGELIN 7 Colors Led Light Therapy Facial Mask, Face Light Therapy Mask for Face, Reduce Wrinkles Smooth Skin, Infrared Light Skin Rejuvenation(White)</t>
  </si>
  <si>
    <t>152</t>
  </si>
  <si>
    <t>P3-2</t>
  </si>
  <si>
    <t>美01月16日 00:01</t>
  </si>
  <si>
    <t>B0FM4G187P</t>
  </si>
  <si>
    <t>Fiogeo Red Light Therapy for Face, Red Light Therapy Mask with Remote, Rechargeable 7 Colors LED Light Therapy mask, Anti-Aging, Wrinkle Reduction and Skin Firming, Home &amp; Travel Use</t>
  </si>
  <si>
    <t>11</t>
  </si>
  <si>
    <t>P2-15</t>
  </si>
  <si>
    <t>美01月20日 15:00</t>
  </si>
  <si>
    <t>美01月21日 06:01</t>
  </si>
  <si>
    <t>B0FWKDTQLN</t>
  </si>
  <si>
    <t>4D Red Light Therapy Mask，Red Light Therapy for Face with 4 Color Light Modes (Red+Infrared/Red/Blue/Orange), 850NM Infrared LED Face Mask Light Therapy with 4000mAh Rechargeable Remote, Timer</t>
  </si>
  <si>
    <t>20</t>
  </si>
  <si>
    <t>P1-14</t>
  </si>
  <si>
    <t>P1-8</t>
  </si>
  <si>
    <t>美01月20日 05:00</t>
  </si>
  <si>
    <t>B0CSDHFN3B</t>
  </si>
  <si>
    <t>Red Light Therapy Mask, Red Light Therapy for Face, 7 Colors LED Facial Mask for Wrinkle Remove &amp; Anti Aging, Skin Care Home Travel Use,Pink (Upgraded Version)</t>
  </si>
  <si>
    <t>271</t>
  </si>
  <si>
    <t>自然,SP</t>
  </si>
  <si>
    <t>P3-6</t>
  </si>
  <si>
    <t>美01月03日 03:01</t>
  </si>
  <si>
    <t>B0FX87YWGP</t>
  </si>
  <si>
    <t>SDKWDH Red Light Therapy for Face, Led Face Mask Light Therapy, Anti-Aging Infrared Therapy for Wrinkles, Fine Lines, 7-1 Colors LED Facial Skin Care Mask</t>
  </si>
  <si>
    <t>109</t>
  </si>
  <si>
    <t>B0FVNQ3C9M</t>
  </si>
  <si>
    <t>LED Light Therapy Mask Skin Care Mask &amp; Neck, Red &amp; Infrared Lights Masks Wavelength LED Face Mask Light Therapy for Home Use（Advanced Black）</t>
  </si>
  <si>
    <t>69</t>
  </si>
  <si>
    <t>P2-11</t>
  </si>
  <si>
    <t>美01月03日 00:02</t>
  </si>
  <si>
    <t>B0CZ8NZ97F</t>
  </si>
  <si>
    <t>HIME SAMA LED Face Mask, 8 Color LED Mask for Face Skin Care, FSA/HSA Eligible, Red Light Mask for Face, Infrared, Red &amp; Blue Light Mask, Wrinkle Reduction, Wireless. (Miracle ACE RB-050)</t>
  </si>
  <si>
    <t>518</t>
  </si>
  <si>
    <t>P1-24</t>
  </si>
  <si>
    <t>B0FWQK7LV2</t>
  </si>
  <si>
    <t>Red Light Therapy for Face,LED Face Mask Light Therapy,USB C Rechargeable,Infrared Light Therapy Mask LED Silicone Mask</t>
  </si>
  <si>
    <t>SOR,SP,自然</t>
  </si>
  <si>
    <t>P1-34</t>
  </si>
  <si>
    <t>B0FS6V19BZ</t>
  </si>
  <si>
    <t>Yahi Red Light Photon Facial &amp; Neck Mask with Remote Control, 7 Custom Modes with Infrared, Portable &amp; Rechargeable with Timer for Home Use, 175 High-Density Light Beads, Black</t>
  </si>
  <si>
    <t>198</t>
  </si>
  <si>
    <t>P2-2</t>
  </si>
  <si>
    <t>B0DWXHPNSG</t>
  </si>
  <si>
    <t>EVFOFO Led Face Mask Light Therapy, Red Light Therapy for Face, 7-1 Colors LED Facial Skin Care Mask, Black</t>
  </si>
  <si>
    <t>96</t>
  </si>
  <si>
    <t>P3-40</t>
  </si>
  <si>
    <t>美01月21日 08:02</t>
  </si>
  <si>
    <t>B0F181GKGZ</t>
  </si>
  <si>
    <t>Red Light Therapy Mask for Face &amp; Neck – 4 Light Modes with 850nm NIR, Red, Yellow &amp; Blue LED Light Therapy, 2600mAh Rechargeable LED Face Mask for Anti-Aging, Skin Firming &amp; Radiant Glow at Home</t>
  </si>
  <si>
    <t>99</t>
  </si>
  <si>
    <t>P1-35</t>
  </si>
  <si>
    <t>美01月19日 15:00</t>
  </si>
  <si>
    <t>B0F8QJL13N</t>
  </si>
  <si>
    <t>Red Light Therapy for Face Mask – LED Face Mask Light Therapy with Red Blue LED and Infrared Light, Anti-Aging, Blemish Repair Treatment</t>
  </si>
  <si>
    <t>34</t>
  </si>
  <si>
    <t>SOR,自然</t>
  </si>
  <si>
    <t>B0DFYP9LGZ</t>
  </si>
  <si>
    <t>Lanieney Red Light Therapy for Face, 7 Colors Red Light Therapy Mask, Timing Function, Rechargeable LED Face Mask for Home Skincare, Black</t>
  </si>
  <si>
    <t>4.1</t>
  </si>
  <si>
    <t>P1-46</t>
  </si>
  <si>
    <t>B09Z6Z5KGK</t>
  </si>
  <si>
    <t>LifePro Red Light Therapy for Face – LED Face Mask Light Therapy with Red, Blue &amp; Amber Modes – Vizacure Rechargeable, Portable Skincare Mask for at-Home Use</t>
  </si>
  <si>
    <t>4.2</t>
  </si>
  <si>
    <t>540</t>
  </si>
  <si>
    <t>P1-45</t>
  </si>
  <si>
    <t>美01月19日 17:00</t>
  </si>
  <si>
    <t>B0D3X6YXXN</t>
  </si>
  <si>
    <t>Auxoliev FSA Eligible LED Face Mask Light Therapy,Red Blue Light Therapy for Face Wrinkles Acne Reduction,Rechargeable Home Beauty LED Mask with 4 Color</t>
  </si>
  <si>
    <t>52</t>
  </si>
  <si>
    <t>P1-48</t>
  </si>
  <si>
    <t>B0F8Q8KXVW</t>
  </si>
  <si>
    <t>Red Light Therapy for Face，4D Red Light Therapy Mask with 4 Color Light Modes (Red+Infrared/Red/Blue/Orange), 850NM Infrared LED Face Mask Light Therapy with 4000mAh Rechargeable Remote, Timer</t>
  </si>
  <si>
    <t>197</t>
  </si>
  <si>
    <t>自然,SOR,SP,AC</t>
  </si>
  <si>
    <t>P2-20</t>
  </si>
  <si>
    <t>B0G11MRXL7</t>
  </si>
  <si>
    <t>EVFOFO Red Light Therapy Mask for Face, 7 Custom Modes with 850nm Infrared &amp; 630nm Red Light, Portable LED Face Mask Light Therapy with Timer for Home Use, White</t>
  </si>
  <si>
    <t>180</t>
  </si>
  <si>
    <t>P1-13</t>
  </si>
  <si>
    <t>B07Z4HDZGW</t>
  </si>
  <si>
    <t>Aphrona FDA cleared LED Facial Skin Care Mask MOONLIGHT PRO 7 Color Treatment Photon Mask (White)</t>
  </si>
  <si>
    <t>4.3</t>
  </si>
  <si>
    <t>2187</t>
  </si>
  <si>
    <t>P1-36</t>
  </si>
  <si>
    <t>美01月19日 08:01</t>
  </si>
  <si>
    <t>美01月16日 13:00</t>
  </si>
  <si>
    <t>B01MDK70V9</t>
  </si>
  <si>
    <t>NEWKEY Skin Care Beauty Mask(MJ-06), Led Face Mask Light Therapy,Blue &amp; Red Light for Acne Mask</t>
  </si>
  <si>
    <t>3543</t>
  </si>
  <si>
    <t>P2-45</t>
  </si>
  <si>
    <t>美12月26日 14:01</t>
  </si>
  <si>
    <t>B0DZ6SLJQ3</t>
  </si>
  <si>
    <t>wavytalk Red Light Therapy Mask for Face, Glow Time LED Face Mask Light Therapy for Anti-Fine Line, Acne Treatment, and Skin Rejuvenation with Red, Near-Infrared Light, Blue and Amber Light Therapy</t>
  </si>
  <si>
    <t>53</t>
  </si>
  <si>
    <t>P1-42</t>
  </si>
  <si>
    <t>美01月20日 01:01</t>
  </si>
  <si>
    <t>B0G2W76F97</t>
  </si>
  <si>
    <t>HGYYGACN Red Light Mask for Face,Infrared Light Face Mask, 7+1 Color Red Light Face Mask Set with 850nm Near Infrared</t>
  </si>
  <si>
    <t>P3-8</t>
  </si>
  <si>
    <t>美01月08日 04:02</t>
  </si>
  <si>
    <t>B0FWJ82MVG</t>
  </si>
  <si>
    <t>Novurial Red Light Therapy for Face, 850nm Infrared LED Face Mask Light Therapy with 280 LEDs, Cordless Red Light Therapy Device with 5 &amp; 10 Min Timer, FDA Cleared Light Therapy Mask</t>
  </si>
  <si>
    <t>100</t>
  </si>
  <si>
    <t>P1-30</t>
  </si>
  <si>
    <t>美01月16日 04:00</t>
  </si>
  <si>
    <t>B0FS2V8LLJ</t>
  </si>
  <si>
    <t>Red Light Therapy Mask for Face and Neck, 7 Colors with NIR Led Face Mask Light Therapy with Eye Protection and Remote, Rechargeable Ergonomic Design for True Anti-Aging Skincare at Home White</t>
  </si>
  <si>
    <t>54</t>
  </si>
  <si>
    <t>P1-25</t>
  </si>
  <si>
    <t>美01月21日 15:02</t>
  </si>
  <si>
    <t>B0FCMLZG9X</t>
  </si>
  <si>
    <t>INTEO Red Light Therapy for Face, 3 Modes Portable Led Face Mask Light Therapy with Remote, Infrared Light Mask with Timing Function, Led Light Therapy At Home, Pink</t>
  </si>
  <si>
    <t>2161</t>
  </si>
  <si>
    <t>P2-8</t>
  </si>
  <si>
    <t>B0FM4HRBNP</t>
  </si>
  <si>
    <t>somlzu Red Light Therapy for Face, 7-Color LED Red Light Mask and 95 LEDs, 3 Level Timer, Remote Control, Portable for Home &amp; Travel, Gift for Women, Black, LED Light Therapy mask</t>
  </si>
  <si>
    <t>P1-40</t>
  </si>
  <si>
    <t>美01月10日 16:00</t>
  </si>
  <si>
    <t>B0F4MC1HTG</t>
  </si>
  <si>
    <t>Coroever Red Light for Face,Heated LED Face Mask Light,25°C-32°C Heated Infrared Red Face Mask Light,Anti-Aging Infrared Mask</t>
  </si>
  <si>
    <t>41</t>
  </si>
  <si>
    <t>P1-44</t>
  </si>
  <si>
    <t>B0FC2PBLLS</t>
  </si>
  <si>
    <t>Red Light Therapy for Face, Near-lnfrared 850 LED Face Mask Light Therapy 3 Modes Portable Led Face Mask Light Therapy with Rechargeable Remote, Red Light Therapy Mask with Timing Function</t>
  </si>
  <si>
    <t>3.9</t>
  </si>
  <si>
    <t>27</t>
  </si>
  <si>
    <t>P2-19</t>
  </si>
  <si>
    <t>美01月19日 09:00</t>
  </si>
  <si>
    <t>B0DJ7KMM1N</t>
  </si>
  <si>
    <t>LED light therapy mask, (Model: FM-02)</t>
  </si>
  <si>
    <t>267</t>
  </si>
  <si>
    <t>美01月17日 11:01</t>
  </si>
  <si>
    <t>B0FM4GTYM3</t>
  </si>
  <si>
    <t>Fiogeo LED light therapy mask, Red Light Therapy for Face &amp; Neck, 7 Colors Led Face and Neck Mask, can USB Charging with Controller, Firming and Sooth for Home Working Travel Yoga</t>
  </si>
  <si>
    <t>P2-9</t>
  </si>
  <si>
    <t>美01月11日 01:00</t>
  </si>
  <si>
    <t>B0CX84JCFX</t>
  </si>
  <si>
    <t>83</t>
  </si>
  <si>
    <t>P1-37</t>
  </si>
  <si>
    <t>B07S65M898</t>
  </si>
  <si>
    <t>NEWKEY Skin Care Beauty Mask(MJ-06), Led Face Mask Light Therapy, led Light Therapy for Facial Skin Care Beauty Mask - Blue &amp; Red Light for Acne Mask</t>
  </si>
  <si>
    <t>736</t>
  </si>
  <si>
    <t>SBV,SOR,SP,自然,SB</t>
  </si>
  <si>
    <t>P3-43</t>
  </si>
  <si>
    <t>美01月03日 05:00</t>
  </si>
  <si>
    <t>美01月16日 16:00</t>
  </si>
  <si>
    <t>B0FWLMY464</t>
  </si>
  <si>
    <t>178</t>
  </si>
  <si>
    <t>美01月14日 23:00</t>
  </si>
  <si>
    <t>B083VTJ3QC</t>
  </si>
  <si>
    <t>Pure Daily Care Luma Mask LED Skincare Device for the Face | 7 Advanced Color Modes | 5 Light Intensity Levels | All Skin Types</t>
  </si>
  <si>
    <t>1261</t>
  </si>
  <si>
    <t>P2-1</t>
  </si>
  <si>
    <t>B0DYG4Q6PL</t>
  </si>
  <si>
    <t>Shark CryoGlow LED Face Mask with Under-Eye Cooling, Anti-Ageing &amp; Blemish Repair, Red &amp; Blue LED, Infrared Light Therapy, USB-C, Remote Control, Storage Bag, Lilac Chill, FW312PL</t>
  </si>
  <si>
    <t>216</t>
  </si>
  <si>
    <t>B0BBB76WYQ</t>
  </si>
  <si>
    <t>Nourished Bodynskin LED Light Therapy Face &amp; Neck Mask - Facial Skin Care Device - 7 Colors Red &amp; Blue - Rejuvenation, Anti-aging Product for Wrinkles</t>
  </si>
  <si>
    <t>1676</t>
  </si>
  <si>
    <t>P1-31</t>
  </si>
  <si>
    <t>P2-6</t>
  </si>
  <si>
    <t>B0CRR91YW4</t>
  </si>
  <si>
    <t>ANGAUSS 7 Color Red Light Therapy Mask, LED Face Mask Light Therapy, Red Light Therapy for Face, Silicone Face Mask Skin Care at Home with Eye Protection Cushion for Anti Aging Wrinkles</t>
  </si>
  <si>
    <t>662</t>
  </si>
  <si>
    <t>美01月16日 19:02</t>
  </si>
  <si>
    <t>B0FM82RCM8</t>
  </si>
  <si>
    <t>Onisdin Red Light Therapy Mask Set, Five-Level Brightness Adjustment for Face and Neck, 630nm Infrared Light + 850nm Near-Infrared LED Therapy Phototherapy, Portable Mask with Power Storage, Black</t>
  </si>
  <si>
    <t>123</t>
  </si>
  <si>
    <t>P2-28</t>
  </si>
  <si>
    <t>B0CPY3NKWB</t>
  </si>
  <si>
    <t>MEGELIN LED Light Therapy Mask Model(s): JML1 at home</t>
  </si>
  <si>
    <t>369</t>
  </si>
  <si>
    <t>美01月03日 08:00</t>
  </si>
  <si>
    <t>B0FS1LQJTS</t>
  </si>
  <si>
    <t>WAYCOM Red Light Therapy for Face: 4-Modes Portable LED Light Therapy for Skin Care - 400 LEDs Blue Orange 850NM Infrared &amp; Red Light Mask at Home Travel with Timing Function Remote Pink</t>
  </si>
  <si>
    <t>P2-18</t>
  </si>
  <si>
    <t>美01月20日 18:01</t>
  </si>
  <si>
    <t>B0DQ85FK8B</t>
  </si>
  <si>
    <t>Red Light Mask for Face, 7 Color Red Light Facial Masks, At-Home Facial Care Device, Portable, Cordless, and Rechargeable</t>
  </si>
  <si>
    <t>187</t>
  </si>
  <si>
    <t>P2-16</t>
  </si>
  <si>
    <t>美01月13日 06:01</t>
  </si>
  <si>
    <t>B0FSSLM7HW</t>
  </si>
  <si>
    <t>Red Light Therapy Mask for Face and Neck, 7 Colors with NIR Led Face Mask Light Therapy with Eye Protection and Remote, Rechargeable Ergonomic Design for True Anti-Aging Skincare at Home Black</t>
  </si>
  <si>
    <t>1</t>
  </si>
  <si>
    <t>P3-36</t>
  </si>
  <si>
    <t>B09FLJDNB8</t>
  </si>
  <si>
    <t>NEWKEY Skin Care Beauty Mask（MJ-06）, Red Light Therapy Mask for Face Wrinkles, LED Face Mask Light Therapy, Blue&amp;Red Light Therapy for Face Acne</t>
  </si>
  <si>
    <t>SB,SBV</t>
  </si>
  <si>
    <t>B0G56K6GK6</t>
  </si>
  <si>
    <t>SDKWDH LED Face Mask Light Therapy, Red Light Therapy Mask with 7 Colors, 850nm Infrared &amp; Red Light Therapy for Face, Portable Anti-Aging Skin Rejuvenation Tool with Timer for Home Use</t>
  </si>
  <si>
    <t>149</t>
  </si>
  <si>
    <t>P1-21</t>
  </si>
  <si>
    <t>美01月21日 04:00</t>
  </si>
  <si>
    <t>B0F63SWKBS</t>
  </si>
  <si>
    <t>Infrared Red Light Therapy Mask: High Energy Skincare Device for Glowing Skin – Ultra-Thin 1.8mm 4.6oz, 830nm 633nm 590nm, Cordless Red Light Therapy for Face Luxury Gift - Generation II updated</t>
  </si>
  <si>
    <t>104</t>
  </si>
  <si>
    <t>P2-22</t>
  </si>
  <si>
    <t>美01月17日 10:01</t>
  </si>
  <si>
    <t>B0FS6QR2KM</t>
  </si>
  <si>
    <t>Yahi Red Light Photon Facial &amp; Neck Mask with Remote Control, 7 Custom Modes with Infrared, Portable &amp; Rechargeable with Timer for Home Use, 175 High-Density Light Beads, White</t>
  </si>
  <si>
    <t>美01月21日 10:02</t>
  </si>
  <si>
    <t>美01月21日 03:00</t>
  </si>
  <si>
    <t>B0FMGMLCJC</t>
  </si>
  <si>
    <t>Avorla LED Face Mask Light Therapy, 4 Modes Portable Red Light Therapy Infrared Light for Face with 2600mAh Rechargeable, IP67 Washable, 216 LEDs for Anti-Aging, Skin Firming &amp; Radiant Glow at Home</t>
  </si>
  <si>
    <t>P2-30</t>
  </si>
  <si>
    <t>B0DHRW819R</t>
  </si>
  <si>
    <t>CurrentBody Skin LED Light Therapy Mask: Series 2</t>
  </si>
  <si>
    <t>340</t>
  </si>
  <si>
    <t>B0FH6VW1J6</t>
  </si>
  <si>
    <t>Red Light Therapy for Face Red Light Mask Infrared LED Mask Light 660nm &amp; 850nm Near Infrared Light Therapy</t>
  </si>
  <si>
    <t>10</t>
  </si>
  <si>
    <t>P2-41</t>
  </si>
  <si>
    <t>P2-10</t>
  </si>
  <si>
    <t>美01月21日 00:34</t>
  </si>
  <si>
    <t>B0D76XVMK5</t>
  </si>
  <si>
    <t>biuufish LED light therapy mask, FM-03</t>
  </si>
  <si>
    <t>6</t>
  </si>
  <si>
    <t>P2-12</t>
  </si>
  <si>
    <t>B0DSGJCS47</t>
  </si>
  <si>
    <t>Shark CryoGlow LED Face Mask with Under-Eye Cooling, Anti-Ageing &amp; Blemish Repair, Red &amp; Blue LED, Infrared Light Therapy, USB-C, Remote Control, Storage Bag, Blue Frost, FW312</t>
  </si>
  <si>
    <t>370</t>
  </si>
  <si>
    <t>P1-41</t>
  </si>
  <si>
    <t>美01月18日 02:00</t>
  </si>
  <si>
    <t>B0FVWWZJ5N</t>
  </si>
  <si>
    <t>BETNEP LED Therapy Mask,Red Light Therapy for Face, LED Face Mask Light Therapy,Rechargeable Remote Control, Silicone</t>
  </si>
  <si>
    <t>B0DJL6JV6R</t>
  </si>
  <si>
    <t>Hsaiiae FSA Eligible LED Light Therapy mask (FM-02)</t>
  </si>
  <si>
    <t>12</t>
  </si>
  <si>
    <t>SP,自然</t>
  </si>
  <si>
    <t>P2-14</t>
  </si>
  <si>
    <t>美12月27日 21:00</t>
  </si>
  <si>
    <t>B0C94PGTNZ</t>
  </si>
  <si>
    <t>Red Light Therapy for Face, Led Contour Face Mask Light Therapy, 7+1 Color Near-infrared 850 Led Light Mask Portable and Rechargeable, Red Light Therapy At Home and Wireless Led Face Mask[BMask Pro]</t>
  </si>
  <si>
    <t>243</t>
  </si>
  <si>
    <t>P2-27</t>
  </si>
  <si>
    <t>美01月15日 12:01</t>
  </si>
  <si>
    <t>B0F32PYT67</t>
  </si>
  <si>
    <t>Kelyoo Red Light Therapy for Face Mask – LED Face Mask Light Therapy with Red Blue LED and Infrared Light, Anti-Aging, Blemish Repair Treatment</t>
  </si>
  <si>
    <t>17</t>
  </si>
  <si>
    <t>P2-25</t>
  </si>
  <si>
    <t>B0FMFDPZG9</t>
  </si>
  <si>
    <t>Red Light Therapy for Face, 8 Modes Portable Led Face Mask Light Therapy with Remote, Near-Infrared 850nm Wavelength with Timing Function for Anti-Aging Skincare at Home Travel</t>
  </si>
  <si>
    <t>3</t>
  </si>
  <si>
    <t>P2-34</t>
  </si>
  <si>
    <t>B0BS9CM9CT</t>
  </si>
  <si>
    <t>FSA Red Light Therapy Mask -Target Acne Removal,Wrinkles&amp;Redness,Salon-Level Pro Infrared Face Mask Anti-Aging Skincare for Home Yoga,2000mAh Rechargeable,Led Light Therapy Facial Mask Wirless Remote</t>
  </si>
  <si>
    <t>58</t>
  </si>
  <si>
    <t>B0F4CTCRVF</t>
  </si>
  <si>
    <t>F FIWENE LED Facial Mask (Model: AST-804B)</t>
  </si>
  <si>
    <t>44</t>
  </si>
  <si>
    <t>P1-38</t>
  </si>
  <si>
    <t>美01月17日 22:00</t>
  </si>
  <si>
    <t>美12月31日 00:03</t>
  </si>
  <si>
    <t>B0FXFXBF1M</t>
  </si>
  <si>
    <t>Red Light Photon Facial Mask with Wireless Rechargeable Design, 7 Custom Modes with Infrared, Portable &amp; Rechargeable for Home Use, White</t>
  </si>
  <si>
    <t>73</t>
  </si>
  <si>
    <t>P3-1</t>
  </si>
  <si>
    <t>B0F1C2GVK7</t>
  </si>
  <si>
    <t>BeaRay LED Face Mask Light Therapy – 7-in-1 Colors Facial Skin Care Mask for At-Home Use, Portable, Cordless &amp; USB Rechargeable (White)</t>
  </si>
  <si>
    <t>B0DQD4NQX6</t>
  </si>
  <si>
    <t>Nourished Bodynskin 7 Colors LED Face Mask with Near-Infrared - Blue, Red Light Therapy for Face - 114 LEDs - Skincare Tool for Wrinkles, Anti-Aging</t>
  </si>
  <si>
    <t>146</t>
  </si>
  <si>
    <t>P2-21</t>
  </si>
  <si>
    <t>B0CC67WZZG</t>
  </si>
  <si>
    <t>Duevie Red Light Therapy Mask for Face</t>
  </si>
  <si>
    <t>29</t>
  </si>
  <si>
    <t>美01月19日 06:00</t>
  </si>
  <si>
    <t>B0DJVBKYBF</t>
  </si>
  <si>
    <t>659</t>
  </si>
  <si>
    <t>SBV,SP</t>
  </si>
  <si>
    <t>B0FH4V4GM9</t>
  </si>
  <si>
    <t>F FIWENE HSA Red Light Therapy LED Facial Mask -Red &amp; Blue Light Anti Aging FSA Face Mask- Salon Treatment for Acne,Wrinkles &amp; Redness at Home,Ideal Skincare Device for Women &amp; Men</t>
  </si>
  <si>
    <t>21</t>
  </si>
  <si>
    <t>B0FVW12TYX</t>
  </si>
  <si>
    <t>SDKWDH Red Light Mask for Face, 7-1 Colors Facial Care Mask, 850nm Infrared &amp; Red Light Masks, Ergonomic Design for Home &amp; Travel, Pink</t>
  </si>
  <si>
    <t>138</t>
  </si>
  <si>
    <t>P2-36</t>
  </si>
  <si>
    <t>B0FR7PF263</t>
  </si>
  <si>
    <t>Red Light Therapy for Face - Cordless LED Mask Light Therapy, 4 Modes with 850nm Infrared &amp; Red Light, 60-Min Battery, Timer Function, Salon-Level Results at-Home</t>
  </si>
  <si>
    <t>23</t>
  </si>
  <si>
    <t>P1-23</t>
  </si>
  <si>
    <t>美01月14日 07:02</t>
  </si>
  <si>
    <t>美01月19日 13:00</t>
  </si>
  <si>
    <t>B09XFM6N62</t>
  </si>
  <si>
    <t>Aphrona Acne Removal Wrinkle Reduction Skin Care Mask | LED Light Therapy Red light Blue light | Glowing Skin Photo Facial (7 color)</t>
  </si>
  <si>
    <t>64</t>
  </si>
  <si>
    <t>B0FGPKMTSL</t>
  </si>
  <si>
    <t>Red Light Therapy for Face Wireless with 400 Leds, 360° Led Face Mask Light Therapy with 4 Modes &amp; Near-Infrared, 2000mAh Rechargeable Led Face Mask with Eye Protection for Anti-Aging &amp; Radiant Glow</t>
  </si>
  <si>
    <t>P3-26</t>
  </si>
  <si>
    <t>美01月21日 11:00</t>
  </si>
  <si>
    <t>B0F66YK4JM</t>
  </si>
  <si>
    <t>Duuckin LED Face Mask Light Therapy, 3 Modes Portable Red Light Therapy for Face with Rechargeable Remote, Red Light Mask, at Home(Dark Black)</t>
  </si>
  <si>
    <t>18</t>
  </si>
  <si>
    <t>P3-46</t>
  </si>
  <si>
    <t>美01月02日 22:00</t>
  </si>
  <si>
    <t>B0D7D2WCMM</t>
  </si>
  <si>
    <t>Red Light Therapy for Face, 8 Colors LED Face Mask Light Therapy with 850NM Near-infrared, Portable Rechargeable Red Light Therapy Mask Skin Care Device at Home and Travel for Anti-Aging, Black</t>
  </si>
  <si>
    <t>P3-10</t>
  </si>
  <si>
    <t>B0CR17G9HZ</t>
  </si>
  <si>
    <t>GYH 8-Color LED Face Mask Light Therapy, Red Light Therapy for Face, FSA/HSA Eligible, Wireless High Dose Green, Blue, Infrared Light Therapy Mask for Skin Care &amp; Anti-aging, Cloud-SSS (RB-080)</t>
  </si>
  <si>
    <t>375</t>
  </si>
  <si>
    <t>P1-43</t>
  </si>
  <si>
    <t>B0FG2TFSD1</t>
  </si>
  <si>
    <t>LED Light Therapy Mask</t>
  </si>
  <si>
    <t>16</t>
  </si>
  <si>
    <t>SOR,SP</t>
  </si>
  <si>
    <t>美01月19日 00:00</t>
  </si>
  <si>
    <t>B0DJSB1BP2</t>
  </si>
  <si>
    <t>JOVS 4D Led Light Mask for Face with 4 Color Light Modes, Portable LED Face Mask with Timer for Skin Care Home Travel, Breathable and Wireless</t>
  </si>
  <si>
    <t>108</t>
  </si>
  <si>
    <t>P3-7</t>
  </si>
  <si>
    <t>美01月20日 13:02</t>
  </si>
  <si>
    <t>美01月15日 00:01</t>
  </si>
  <si>
    <t>B0FHXX51KW</t>
  </si>
  <si>
    <t>Aesthifae Red Light Therapy Mask for Face and Neck, 7 Colors with NIR Led Face Mask Light Therapy with Eye Protection and Remote, Rechargeable Ergonomic Design for True Anti-Aging Skincare at Home</t>
  </si>
  <si>
    <t>美01月20日 04:00</t>
  </si>
  <si>
    <t>B0D9W7VHHG</t>
  </si>
  <si>
    <t>VYM Red Light Therapy for Face: Super Lightweight 292 LEDs High-Energy Red Light Therapy Mask Infrared LED Face Mask Light Therapy at Home Travel 2mm Thickness - White</t>
  </si>
  <si>
    <t>98</t>
  </si>
  <si>
    <t>P2-33</t>
  </si>
  <si>
    <t>B0GGJJZYF9</t>
  </si>
  <si>
    <t>Qure LED Light Therapy Mask for Face: 3 Modes, Customizable 5 Facial Areas &amp; 5 Lights: Red, Deep-Red, Blue, Amber &amp; Infrared, 3-Min Daily, Eye-Protection, Smart App</t>
  </si>
  <si>
    <t>美01月18日 21:00</t>
  </si>
  <si>
    <t>B0G1C4HGNY</t>
  </si>
  <si>
    <t>LED Light Mask for Treatment of Full-face Wrinkles, Red Light Therapy for Face Mask for Skin Care at Home (Black)</t>
  </si>
  <si>
    <t>0</t>
  </si>
  <si>
    <t>P3-45</t>
  </si>
  <si>
    <t>美01月17日 14:01</t>
  </si>
  <si>
    <t>B0F943353F</t>
  </si>
  <si>
    <t>Lanieney Red Light Therapy Mask for Face, Wireless LED Face Mask, Rechargeable and Adjustable Timer Design with Digital Display for Home Skincare, Dark Black</t>
  </si>
  <si>
    <t>36</t>
  </si>
  <si>
    <t>美01月10日 11:02</t>
  </si>
  <si>
    <t>B0FMDF4ZPH</t>
  </si>
  <si>
    <t>tinkoola Red Light Therapy Mask for Face &amp; Neck, LED Face Light Therapy,USB C Rechargeable,Infrared Mask for Home Working Travel Yoga (White Gold)</t>
  </si>
  <si>
    <t>美01月16日 18:00</t>
  </si>
  <si>
    <t>B0FDX22M3Y</t>
  </si>
  <si>
    <t>BNU Wireless Red Light Therapy for Face, 4 Modes LED Light Therapy Mask with 400 LED Beads, Dual 1000mAh Remote Control, 850NM Infrared Red Light Therapy for Anti-Aging at Home &amp; Travel</t>
  </si>
  <si>
    <t>185</t>
  </si>
  <si>
    <t>美01月14日 14:02</t>
  </si>
  <si>
    <t>B0DHZ2KQB9</t>
  </si>
  <si>
    <t>P1-27</t>
  </si>
  <si>
    <t>美01月19日 21:02</t>
  </si>
  <si>
    <t>B0FBFYL5KB</t>
  </si>
  <si>
    <t>YKeluxon Red Light Therapy Mask for Face, LED Face Mask, Infrared &amp; Red Light Therapy for Face, Portable Redlight Facial Device</t>
  </si>
  <si>
    <t>15</t>
  </si>
  <si>
    <t>P2-44</t>
  </si>
  <si>
    <t>B0CSYZ367S</t>
  </si>
  <si>
    <t>Avorla Beauty LED mask – Red Light &amp; Infrared Light Therapy Face Mask for Wrinkles – Blue Light for Acne – Multi-wavelength for Skincare – Rechargeable for Home Use and Travel</t>
  </si>
  <si>
    <t>166</t>
  </si>
  <si>
    <t>P3-20</t>
  </si>
  <si>
    <t>美01月09日 10:01</t>
  </si>
  <si>
    <t>美01月19日 03:01</t>
  </si>
  <si>
    <t>B0FVV6MCJP</t>
  </si>
  <si>
    <t>Gracekey Red Light Therapy Mask for Face, Wireless /4 Modes/Dual 2000mAh Rechargeable, Cordless LED Face Mask Light Therapy with Near Infrared Red Light (NIR) 850nm</t>
  </si>
  <si>
    <t>25</t>
  </si>
  <si>
    <t>B0FWLQ125P</t>
  </si>
  <si>
    <t>ONLUKY Red Light Therapy Mask for Face,LED Face Mask Light Therapy,USB C Rechargeable,Infrared Light Therapy Mask for Home Working Travel Yoga Sleep</t>
  </si>
  <si>
    <t>SOR,SP,自然,SB</t>
  </si>
  <si>
    <t>美01月15日 18:00</t>
  </si>
  <si>
    <t>B0D937NTSJ</t>
  </si>
  <si>
    <t>LUMARA VISO Red Light Therapy for Face - 470 LEDs with Uniform Coverage - Facial Skin Care Device for Skin Rejuvenation</t>
  </si>
  <si>
    <t>P2-37</t>
  </si>
  <si>
    <t>美01月18日 11:02</t>
  </si>
  <si>
    <t>B0DDYD77P7</t>
  </si>
  <si>
    <t>Vnvfd LED light therapy mask (FM-01, FM-02, FM-03)</t>
  </si>
  <si>
    <t>B0FBRVWVZX</t>
  </si>
  <si>
    <t>WEETALL 8-Color Red Light Therapy Mask: FDA-Cleared LED Facial Mask for Skin Care, Red Blue Light for Face, 150 LED Lights Beauty Care Device for Women Mom Wife at Home &amp; Office, SP-FM-01</t>
  </si>
  <si>
    <t>26</t>
  </si>
  <si>
    <t>P3-4</t>
  </si>
  <si>
    <t>美12月22日 04:00</t>
  </si>
  <si>
    <t>B0FHH4JNF4</t>
  </si>
  <si>
    <t>Red Light Therapy Mask, 7 Modes Portable LED Face Mask Light Therapy, 2000mAh USB-C Rechargeable Wired Controller, Blue, Orange, Timing Function, 830NM Infrared &amp; Red Light Mask for Home &amp; Travel</t>
  </si>
  <si>
    <t>自然,SOR</t>
  </si>
  <si>
    <t>美01月20日 20:02</t>
  </si>
  <si>
    <t>B0CC64LPHF</t>
  </si>
  <si>
    <t>LED Face Mask Light Therapy Mask, FSA HSA Eligible 7 Modes Portable Red Light Therapy for Face with 2000mAh Rechargeable Remote, 850NM Infrared &amp; Red Light Mask, 400 LEDs for Anti-Aging, at Home</t>
  </si>
  <si>
    <t>美01月16日 01:03</t>
  </si>
  <si>
    <t>B0F6LRS9W4</t>
  </si>
  <si>
    <t>FDA-Cleared Red Light Therapy for Face - Anti-Aging, Wrinkles &amp; Acne with 7 Modes, 850nm Infrared red Light Therapy, LED Face Mask with 432 LEDs,at Home &amp; Travel</t>
  </si>
  <si>
    <t>P3-47</t>
  </si>
  <si>
    <t>美01月13日 15:02</t>
  </si>
  <si>
    <t>B0FLP9KCRB</t>
  </si>
  <si>
    <t>Red Light Therapy for Face, 4 Modes LED Face Mask Light Therapy, 2000mAh Cord-Free Controller with 400 LEDs, Blue, Orange, 850nm Near-Infrared Light Mask with Timer Function at Home (Black)</t>
  </si>
  <si>
    <t>31</t>
  </si>
  <si>
    <t>P3-31</t>
  </si>
  <si>
    <t>美01月04日 07:00</t>
  </si>
  <si>
    <t>B0DQVKFXSF</t>
  </si>
  <si>
    <t>hooga Red Light Therapy LED Mask and Neck Piece Combo Set, Tri Chip LEDs, 630 nm and 660nm Red &amp; 850nm Near Infrared, Adjustable, Comfortable, USB Type-C Rechargeable for Wellness and Anti-Aging</t>
  </si>
  <si>
    <t>72</t>
  </si>
  <si>
    <t>P3-24</t>
  </si>
  <si>
    <t>美01月08日 12:01</t>
  </si>
  <si>
    <t>B0FSRJV4G5</t>
  </si>
  <si>
    <t>WAYCOM Red Light Therapy Mask: 400 LEDs Portable LED Light Therapy for Face - 4-Modes Portable Blue Orange 850NM Infrared &amp; Red Light Mask at Home Travel with Timing Function Remote Black</t>
  </si>
  <si>
    <t>9</t>
  </si>
  <si>
    <t>SBV,SOR,SP</t>
  </si>
  <si>
    <t>美01月15日 20:02</t>
  </si>
  <si>
    <t>B0F21V2Q7Z</t>
  </si>
  <si>
    <t>mhpoycd Red Light Therapy for Face &amp; Neck Mask, Led Face Mask Light Therapy with 7 Colors, 309 LED Beads Silicone Facial Skin Care Device for Home SPA Beauty Salon</t>
  </si>
  <si>
    <t>P2-32</t>
  </si>
  <si>
    <t>美01月02日 06:00</t>
  </si>
  <si>
    <t>B0FJXM3Y4J</t>
  </si>
  <si>
    <t>LED Light Therapy Mask Skin Care Mask, LED Red 630±5nm &amp; NIR 830nm Wavelength for Home Use(TAN)</t>
  </si>
  <si>
    <t>22</t>
  </si>
  <si>
    <t>美01月02日 14:02</t>
  </si>
  <si>
    <t>B0DT3C5ZFY</t>
  </si>
  <si>
    <t>gelpal 7-1 Colors LED Facial Skin Care Mask,Red Light Mask for Face, Cordless Led Face Mask Light,Salon or Home,White.</t>
  </si>
  <si>
    <t>158</t>
  </si>
  <si>
    <t>B0FBBJKMXH</t>
  </si>
  <si>
    <t>Capillus Red Light Therapy Mask – LED Face Mask Light Therapy 4 in 1 Infrared, Blue &amp; Pink Red Light Mask Face Therapy Device</t>
  </si>
  <si>
    <t>51</t>
  </si>
  <si>
    <t>B0FPM8QRHY</t>
  </si>
  <si>
    <t>Red Light Therapy for Face &amp; Neck, LED Red Light Therapy Mask for Anti-Aging, Wrinkle Reduction, and Skin Firming, Rechargeable LED Face Mask Light Therapy, 7 Modes, 5 Levels, Home &amp; Travel Use</t>
  </si>
  <si>
    <t>P3-27</t>
  </si>
  <si>
    <t>P3-9</t>
  </si>
  <si>
    <t>B0FG7618X4</t>
  </si>
  <si>
    <t>Red Light Therapy for Face, 7 Colors LED Face Mask Light Therapy with Red, Blue and Mixed Light Therapy Face Mask for Reduce Wrinkles, Skincare at Home &amp; Travel, Black</t>
  </si>
  <si>
    <t>美01月19日 14:01</t>
  </si>
  <si>
    <t>B0FSS6RWPL</t>
  </si>
  <si>
    <t>Red Light Therapy Mask for Face, 2026 LED Face Mask Light Therapy, 4 Modes with Red/Blue/infrared/Dual Red &amp; Blue Lights for Reduce Acne, Anti-Aging and Blemish Repair, Full Face Coverage, Lightweight</t>
  </si>
  <si>
    <t>美01月03日 04:01</t>
  </si>
  <si>
    <t>B0FB93X5ZH</t>
  </si>
  <si>
    <t>Red Light Therapy Mask for Face, 4 Modes Wireless Remote LED Face Mask Light Therapy, 850nm Near-Infrared &amp; Red Light, 272 LEDs, Anti-Aging Skin Rejuvenation Device for Home or Travel Gift for Women</t>
  </si>
  <si>
    <t>43</t>
  </si>
  <si>
    <t>B0FX8F8VM5</t>
  </si>
  <si>
    <t>7-Color LED Light Therapy Mask, Wireless Green Silicone Face Mask for Red Light Therapy, Infrared, Blue Light, and Skin Rejuvenation, Adjustable Brightness &amp; Skin Treatment, Green</t>
  </si>
  <si>
    <t>P2-40</t>
  </si>
  <si>
    <t>美12月28日 04:01</t>
  </si>
  <si>
    <t>B09WB6PWCC</t>
  </si>
  <si>
    <t>HigherDOSE Red Light Face Mask - FDA Cleared LED Red Light Therapy for Face with Near Infrared Technology - At-Home Facial Device to Improve Fine Lines, Wrinkles, Hydration &amp; Redness for Glass Skin</t>
  </si>
  <si>
    <t>273</t>
  </si>
  <si>
    <t>P3-32</t>
  </si>
  <si>
    <t>美01月18日 13:00</t>
  </si>
  <si>
    <t>B0C4DHTS2T</t>
  </si>
  <si>
    <t>GYH Led Face Mask Light Therapy, Red Light Therapy for Face, FSAHSA Eligible, Wireless High Dose Red, Infrared &amp; Blue Light Therapy Mask for Skin Care, Anti-ageing Cloud-S (RB-014)</t>
  </si>
  <si>
    <t>美01月21日 14:01</t>
  </si>
  <si>
    <t>B0G1BGVBYR</t>
  </si>
  <si>
    <t>Glamesty Red Light Therapy Mask for Face, LED Face Mask Light Therapy with Remote, Portable Infrared Light Therapy Skin Care Device with Timer Function for Home &amp; Travel</t>
  </si>
  <si>
    <t>B0FMFJ63RT</t>
  </si>
  <si>
    <t>AIUO Red Light Therapy for Face, Led Face Mask Light Therapy with Rechargeable Remote, LED Face Mask Light Therapy at Home, Comfortable Red Light Therapy Mask, Black</t>
  </si>
  <si>
    <t>2</t>
  </si>
  <si>
    <t>P3-13</t>
  </si>
  <si>
    <t>B0DQSK8Y52</t>
  </si>
  <si>
    <t>Nanoleaf FDA-Cleared LED Light Therapy Face Mask with 7 Treatment Modes - Professional Red &amp; Blue Light with NIR Facial Device for Anti-Aging - 432 LEDs, Rechargeable</t>
  </si>
  <si>
    <t>165</t>
  </si>
  <si>
    <t>P3-5</t>
  </si>
  <si>
    <t>美01月11日 03:00</t>
  </si>
  <si>
    <t>B0F8NM322Y</t>
  </si>
  <si>
    <t>Red Light Therapy for Face, 9 Modes Wireless Led Face Mask Light Therapy, 850nm Infrared &amp; Red Light Masks, 2500mAh Rechargeable, 3D Facial Fit, Led Light Therapy Skin Care At Home (480 Beads)</t>
  </si>
  <si>
    <t>171</t>
  </si>
  <si>
    <t>B0FJ6CNXYH</t>
  </si>
  <si>
    <t>Red Light Therapy for Face, LED Face Mask Light Therapy Adjustable Brightness with 7 Color Led, Cordless &amp; Rechargeable, Red Light Mask for Anti-Aging, Skin Brightening and Rejuvenation</t>
  </si>
  <si>
    <t>13</t>
  </si>
  <si>
    <t>P3-42</t>
  </si>
  <si>
    <t>美01月08日 03:00</t>
  </si>
  <si>
    <t>B0GDYYZ9DW</t>
  </si>
  <si>
    <t>Red Light Therapy for Face, LED Light Therapy Mask, 8-in-1 Colors, Rechargeable with Timer, Portable for Home and Travel</t>
  </si>
  <si>
    <t>SOR</t>
  </si>
  <si>
    <t>B0DNMZ4QSJ</t>
  </si>
  <si>
    <t>MIBIITTY Beauty Led Mask, Led Face Mask Light Therapy</t>
  </si>
  <si>
    <t>14</t>
  </si>
  <si>
    <t>P3-19</t>
  </si>
  <si>
    <t>P2-7</t>
  </si>
  <si>
    <t>B0F9FMQ27V</t>
  </si>
  <si>
    <t>Red Light Therapy for Face, FDA-Cleared LED Light Therapy Mask for Wrinkles, Acne Treatment, and Skin Care, Portable Facial Mask for Women - Mom, Sister, Girlfriend, and Wife</t>
  </si>
  <si>
    <t>110</t>
  </si>
  <si>
    <t>P3-35</t>
  </si>
  <si>
    <t>美01月12日 02:02</t>
  </si>
  <si>
    <t>B0G4VRFJ9Z</t>
  </si>
  <si>
    <t>DPFACE Red Light Face Mask, 7 Colors Red Light Facial Mask, Cordless &amp; Portable Facial Skin Care Device for Women at Home, Black</t>
  </si>
  <si>
    <t>P3-18</t>
  </si>
  <si>
    <t>B0FD9R9K9R</t>
  </si>
  <si>
    <t>Red Light Therapy Face Mask – 7 Modes with Infrared, 432 LEDs, 5 Intensity Levels, Timer Control, Comfortable Silicone Light Mask for Home Skincare Routine</t>
  </si>
  <si>
    <t>SP</t>
  </si>
  <si>
    <t>B0CPXZ33M8</t>
  </si>
  <si>
    <t>MEGELIN Led Red Light Therapy Face &amp; Neck Mask, 7 Colors Led Light Therapy Facial Mask, Infrared Red Light Therapy Mask, Infrared Light Skin Rejuvenation(Black)</t>
  </si>
  <si>
    <t>SBV,SOR,SP,SB</t>
  </si>
  <si>
    <t>美01月08日 05:01</t>
  </si>
  <si>
    <t>B0FLDP8Y5W</t>
  </si>
  <si>
    <t>INIA Red Light Therapy Mask for Face – 4 Light Modes with 850nm NIR, Red &amp; Blue LED Light Therapy, 2600mAh Rechargeable LED Face Mask for Radiant Glow at Home, Pink</t>
  </si>
  <si>
    <t>P1-15</t>
  </si>
  <si>
    <t>B0FVY6P61B</t>
  </si>
  <si>
    <t>Zeepeak 3D LED Red Light Therapy Mask, FDA-Cleared, Anti-Aging &amp; Blemish Repair, 5 Modes Red, Blue, Yellow &amp; 1072nm Near-Infrared Lights, Eye-Protection, Portable 360 LEDs Face Mask for Home Travel</t>
  </si>
  <si>
    <t>8</t>
  </si>
  <si>
    <t>美01月09日 14:00</t>
  </si>
  <si>
    <t>B0D8BJLD2Y</t>
  </si>
  <si>
    <t>Red Light Therapy for Face &amp; Neck, Red Light Mask, 7-1 Colors LED Light Therapy mask, Rechargeable LED Face &amp; Neck Mask for Anti-Aging, Skin Firming &amp; Radiant Glow at Home</t>
  </si>
  <si>
    <t>B0G1YMQGB2</t>
  </si>
  <si>
    <t>SDKWDH Red Light Therapy for Face, Led Face Mask Light Therapy, Anti-Aging Infrared Therapy for Wrinkles, Fine Lines, 7-1 Colors LED Facial Skin Care, Gold</t>
  </si>
  <si>
    <t>B0CSFBQ9GY</t>
  </si>
  <si>
    <t>Red Light Therapy for Face, Red Light Therapy Mask, 7 Colors LED Facial Mask for Wrinkle Remove &amp; Anti Aging, Skin Care Home Use, Black (Upgraded Version)</t>
  </si>
  <si>
    <t>美01月21日 01:00</t>
  </si>
  <si>
    <t>B0F8W2LJZC</t>
  </si>
  <si>
    <t>GYH 8-Color LED Face Mask Light Therapy, Red Light Therapy for Face, FSA/HSA Eligible, Wireless High Dose Green, Blue, Infrared Light Therapy Mask for Skin Care &amp; Anti-aging, Cloud-SSS (RB-081)</t>
  </si>
  <si>
    <t>B0FJ71GN78</t>
  </si>
  <si>
    <t>GANOEL Red Light Therapy Mask &amp; Neck – 7-Color LED Face &amp; Neck Light Therapy, Cordless &amp; Rechargeable, Ergonomic Design, Portable Skincare Set for Anti-Aging, Skin Brightening, and Rejuvenation</t>
  </si>
  <si>
    <t>美12月23日 01:02</t>
  </si>
  <si>
    <t>B0FS7ZC64N</t>
  </si>
  <si>
    <t>Red Light Therapy Mask for Face and Neck, 7 Colors with NIR Led Face Mask Light Therapy with Eye Protection and Remote, Rechargeable Ergonomic Design for True Anti-Aging Skincare at Home</t>
  </si>
  <si>
    <t>P2-29</t>
  </si>
  <si>
    <t>B0D59TQ4TV</t>
  </si>
  <si>
    <t>Veraylife Red Light Therapy Mask for Face, LED Facial Mask, Skin Care Light with Near Infrared 850nm &amp; Adjustable Blue Light, Portable Home Device with 7 Colors &amp; 8 Modes, 432 Beads Pro LEDs (White)</t>
  </si>
  <si>
    <t>55</t>
  </si>
  <si>
    <t>P3-44</t>
  </si>
  <si>
    <t>美01月19日 16:02</t>
  </si>
  <si>
    <t>美01月09日 04:00</t>
  </si>
  <si>
    <t>B0F18YSSBT</t>
  </si>
  <si>
    <t>Red Light Therapy for Face LED Light Therapy Mask for Face 7+1 Colors LED Facial Skin Care Mask Rechargeable Beauty Device with Adjustable Strap and USB for Home &amp; Travel Use</t>
  </si>
  <si>
    <t>美01月15日 15:01</t>
  </si>
  <si>
    <t>美01月18日 03:02</t>
  </si>
  <si>
    <t>B0G1BCD5TS</t>
  </si>
  <si>
    <t>LED Light Therapy mask (E106A) for Face, LED Light Therapy Mask with Adjustable Brightness and Timer, Soft Silicone Red Light Therapy Mask for Home &amp; Travel, Pink</t>
  </si>
  <si>
    <t>美01月20日 03:00</t>
  </si>
  <si>
    <t>B0FZJSG2SK</t>
  </si>
  <si>
    <t>exbushwren LED Red Light Therapy Face Mask – 8 Modes for Acne, Brightening &amp; Wrinkles, Rechargeable with Cooling Gel Pad for All Skin Types</t>
  </si>
  <si>
    <t>7</t>
  </si>
  <si>
    <t>美01月15日 14:02</t>
  </si>
  <si>
    <t>B0GC4RQQX3</t>
  </si>
  <si>
    <t>Lumesse At-Home Red Light Therapy Mask for Face - Professional 3D LED Face Mask with Wireless Remote for Wrinkles &amp; Acne, 4-in-1 Light Modes for Anti-Aging &amp; Glowing Skin Silicone Mask</t>
  </si>
  <si>
    <t>B0FX8FJJW3</t>
  </si>
  <si>
    <t>Red Light Therapy Mask for Face, 7-1 Colors Led face mask light therapy for Wrinkles, Fine Lines, Dark Spots, Portable &amp; Rechargeable for Home Working Travel Yoga Sleep, White</t>
  </si>
  <si>
    <t>3.8</t>
  </si>
  <si>
    <t>P3-28</t>
  </si>
  <si>
    <t>B0FWBRSD19</t>
  </si>
  <si>
    <t>Ulike ReGlow Lite LED Mask With 3 Modes for Anti-Acne &amp; Anti-Aging, Powerful LED Beads With Red, Blue and Mixed Light, 3D Facial Comfort Fit, Red Light Therapy Skin Care At Home</t>
  </si>
  <si>
    <t>SB</t>
  </si>
  <si>
    <t>B0FRFLR4PW</t>
  </si>
  <si>
    <t>Red Light Therapy for Face, Rechargeable Wireless 850NM NIR Therapy Mask with 328 LEDs, 3 Modes 4 Lights with Breathing Light Design, Indoor Outdoor Use</t>
  </si>
  <si>
    <t>63</t>
  </si>
  <si>
    <t>B0FHQ743H5</t>
  </si>
  <si>
    <t>Red Light Therapy Mask for Face and Neck, 7 Colors with NIR Led Face Mask Light Therapy with Eye Protection and Remote, Rechargeable Ergonomic Design for True Anti-Aging Skincare at Home (Pink)</t>
  </si>
  <si>
    <t>P3-39</t>
  </si>
  <si>
    <t>美12月24日 22:00</t>
  </si>
  <si>
    <t>B0C6QCW5FK</t>
  </si>
  <si>
    <t>GYH LED Face Mask, Red Light Mask for Face, FSAHSA eligible, Wireless High Dose Red, Infrared Light &amp; Blue LED Mask Skincare, Anti-ageing, Cloud-SS(RB-030)</t>
  </si>
  <si>
    <t>美01月18日 18:01</t>
  </si>
  <si>
    <t>B0DHBZL7WC</t>
  </si>
  <si>
    <t>NEWKEY Skin Care Beauty Mask（MJ-06）, Red Light Therapy Mask for Face Wrinkles, Blue&amp;Red Light Therapy for Face Acne</t>
  </si>
  <si>
    <t>B0FX512KR9</t>
  </si>
  <si>
    <t>myhalos Red Light Therapy Face Mask - Medical-Grade LED Light Therapy Device with Nir-Infrared (1072 nm), Red (633 nm) &amp; Blue (460 nm) Light - Anti-Aging Skin Treatment for Wrinkles &amp; Fine Lines</t>
  </si>
  <si>
    <t>美01月09日 06:01</t>
  </si>
  <si>
    <t>美01月04日 11:01</t>
  </si>
  <si>
    <t>B0FKD3826X</t>
  </si>
  <si>
    <t>TheraFace Therabody Mask Glo - Cordless LED Skincare Face Mask with Red/Blue/Infrared Light &amp; Relaxing Scalp Massage for Glowing, Healthier-Looking Skin - FDA Cleared</t>
  </si>
  <si>
    <t>B0FJXCQKLP</t>
  </si>
  <si>
    <t>JOVS 4D Laser Light Therapy Mask, Red Light Therapy Mask for Face with FPT Technology, 4 Long Light Waves for Deep Anti-Aging and Wrinkle Reduction, 6× More Powerful than LED Laser Tech</t>
  </si>
  <si>
    <t>37</t>
  </si>
  <si>
    <t>P3-3</t>
  </si>
  <si>
    <t>美01月06日 19:01</t>
  </si>
  <si>
    <t>B0FLK5M2ST</t>
  </si>
  <si>
    <t>Red Light Therapy for Face, 4 Modes Cordless Face Mask Light Therapy, 2000mAh Rechargeable &amp; 400 LEDs Infrared &amp; Red Light Masks, Facial Fit, Led Light Therapy Skin Care at Home（Black）</t>
  </si>
  <si>
    <t>19</t>
  </si>
  <si>
    <t>B0FJY834JC</t>
  </si>
  <si>
    <t>LED Silicone mask (Model: LP-RVTGLWP-WHT, LP-RVTGLW-WHT, TLM200)</t>
  </si>
  <si>
    <t>P2-17</t>
  </si>
  <si>
    <t>美12月30日 22:01</t>
  </si>
  <si>
    <t>B0DWMQPPNZ</t>
  </si>
  <si>
    <t>MEGELIN Upgrade Led Red Light Therapy Mask</t>
  </si>
  <si>
    <t>2.5</t>
  </si>
  <si>
    <t>P3-37</t>
  </si>
  <si>
    <t>美01月10日 20:00</t>
  </si>
  <si>
    <t>B0DJQKVW64</t>
  </si>
  <si>
    <t>Project E Beauty LumaLux Face | Pro LED Light Therapy Mask 800 LEDs | 7 + 2 Colors 460nm ~1072nm | Red + Infrared + Deep Infrared High Power LED Face Mask (Lumalux Face)</t>
  </si>
  <si>
    <t>B0DB5NGVQ7</t>
  </si>
  <si>
    <t>Project E Beauty Lumalux Face+ | Pro LED Light Therapy Face &amp; Neck Mask 1600 LEDs | 7+2 Colors 460~1072nm | Red Light + Infrared + Deep Infrared Mask</t>
  </si>
  <si>
    <t>2.8</t>
  </si>
  <si>
    <t>B0DHQQFWCM</t>
  </si>
  <si>
    <t>JAY SAREES Red-Light-Therapy-for-Face, 7-1 Colors Led Face Mask Light Therapy, Facial Skin Care Mask (White)</t>
  </si>
  <si>
    <t>406</t>
  </si>
  <si>
    <t>美12月27日 18:01</t>
  </si>
  <si>
    <t>B0FV3NBRCB</t>
  </si>
  <si>
    <t>VogueNow LED Light Therapy Mask - FDA-Cleared Device for Wrinkles &amp; Acne - Red Light Therapy for Face with Chin &amp; Lip Coverage - Red, Blue &amp; Near Infrared Facial Skincare Device with 280 LEDs</t>
  </si>
  <si>
    <t>美01月13日 08:03</t>
  </si>
  <si>
    <t>B0G2RPG93Q</t>
  </si>
  <si>
    <t>Megelin Duo-Lux LED Light Therapy Face Mask and Neck Mask</t>
  </si>
  <si>
    <t>B0CW392LT6</t>
  </si>
  <si>
    <t>Pro-Grade FSA LED Light Therapy Facial Mask-Red &amp; Blue Light Anti Aging for Face-HSA Salon Treatment for Acne, Wrinkles &amp; Redness at Home</t>
  </si>
  <si>
    <t>66</t>
  </si>
  <si>
    <t>美12月28日 11:01</t>
  </si>
  <si>
    <t>B0FNCGBMSP</t>
  </si>
  <si>
    <t>Light Therapy System（Model：L6) - 4 Modes Face Mask Light Therapy,Red Light Therapy for Face Desigh Skin Care at Home&amp;Travel,Women &amp; Men Gift Idea</t>
  </si>
  <si>
    <t>美01月12日 05:00</t>
  </si>
  <si>
    <t>B0G2B9CH3K</t>
  </si>
  <si>
    <t>Red Light Therapy Mask Set, Led Mask Light Therapy for Face, Near-Infrared Light 850nm and Red Light 630nm, Black</t>
  </si>
  <si>
    <t>P3-12</t>
  </si>
  <si>
    <t>B0FJ5V9YTF</t>
  </si>
  <si>
    <t>LED Light Therapy Mask Skin Care Mask, LED Red Light Therapy 630nm &amp; 850nm Wavelength for Home Use</t>
  </si>
  <si>
    <t>美01月05日 18:00</t>
  </si>
  <si>
    <t>B0G66DBLQW</t>
  </si>
  <si>
    <t>lumefu Nimbus FDA-Cleared Red Light Therapy Mask For Anti-Aging &amp; Anti-Acne With 3 Treatment Modes Red, NIR &amp; Blue LED Light, Portable 3D Facial Device Comfort Fit, Cordless Skin Care At Home</t>
  </si>
  <si>
    <t>B0FR4N9XQB</t>
  </si>
  <si>
    <t>LED Light Therapy Mask Skin Care Mask, LED Red 630±5nm &amp; NIR 830nm Wavelength for Home Use (Light gray-blue)</t>
  </si>
  <si>
    <t>B0FHQ52QDX</t>
  </si>
  <si>
    <t>美01月12日 09:00</t>
  </si>
  <si>
    <t>B0D8PMH8BF</t>
  </si>
  <si>
    <t>Red Light Therapy Mask: 292 LEDs High Energy Professional Infrared Red Light Therapy Device for Face Led Lighting Facial Mask Replace Photon Rejuvenation - Black</t>
  </si>
  <si>
    <t>美01月08日 22:01</t>
  </si>
  <si>
    <t>B0CP954NWK</t>
  </si>
  <si>
    <t>Firmosa Led Facial Light Therap Mask - 7 Led Light Therap Facial Skin Care Mask - Red Light Therap for Face - Led Face Mask Light Therap - Face Mask Skin Care,Used at Home</t>
  </si>
  <si>
    <t>B0D47R9W1X</t>
  </si>
  <si>
    <t>Lovsheme Red Light Therapy for Face, Enhance LED Face Mask Light Therapy for Acne, Wrinkles &amp; Skin Rejuvenation, 3 Light Modes &amp; Timing Settings, Eye Protection, Portable LED Face Mask Home Skincare</t>
  </si>
  <si>
    <t>204</t>
  </si>
  <si>
    <t>美01月15日 11:01</t>
  </si>
  <si>
    <t>B0G1MR4BK7</t>
  </si>
  <si>
    <t>G17 LED Light Therapy Mask FSA Eligible Acne Treatment, Red Light Therapy for Face with Red, Blue, and Near Infrared Lights – Adjustable Brightness &amp; Timer – Flexible LED Mask for Face</t>
  </si>
  <si>
    <t>美01月06日 06:01</t>
  </si>
  <si>
    <t>B0FKBN34KK</t>
  </si>
  <si>
    <t>SWIRISE Red Light Therapy for Face，Red Light Face Mask with 4 Wavelengths, Facial Skin Care Mask, White</t>
  </si>
  <si>
    <t>SBV</t>
  </si>
  <si>
    <t>B0F9P52F94</t>
  </si>
  <si>
    <t>Facego 7-1 Cordless Red Light Mask &amp; 4- Count Hydrating Mask for Red Light Therapy</t>
  </si>
  <si>
    <t>B0D9W736V2</t>
  </si>
  <si>
    <t>VYM Red Light Therapy for Face: High-Energy Super Lightweight 292 LEDs Cordless Professional Light Therapy Mask Infrared LED Face Mask at Home Travel 2mm Thickness - Black</t>
  </si>
  <si>
    <t>P3-29</t>
  </si>
  <si>
    <t>美01月20日 16:01</t>
  </si>
  <si>
    <t>B0BPY6HR6S</t>
  </si>
  <si>
    <t>Hottoerak Red Light Therapy for Face, LED Red Light Therapy Mask 660nm &amp; 850nm Wavelength for Home Use</t>
  </si>
  <si>
    <t>315</t>
  </si>
  <si>
    <t>B0BN59KR48</t>
  </si>
  <si>
    <t>Auxoliev LED Facial Mask(Model:AST-804,AST-804A,AST-804B,AST-805,AST-805A,AST-805B)</t>
  </si>
  <si>
    <t>2.6</t>
  </si>
  <si>
    <t>77</t>
  </si>
  <si>
    <t>P3-38</t>
  </si>
  <si>
    <t>B0FPG8D7WJ</t>
  </si>
  <si>
    <t>WOYCOOL Red Light Photon for Face &amp; Neck Mask, 7 Colors LED Face Mask Light, Portable Rechargeable Skincare Device for Radiant Glow, Skin Firming &amp; Facial Rejuvenation at Home Working Travel Yoga</t>
  </si>
  <si>
    <t>美01月06日 01:01</t>
  </si>
  <si>
    <t>B01BYLHNEE</t>
  </si>
  <si>
    <t>Angel Kiss Light Beauty Mask - Led Face Mask Light Therapy - Red Light Therapy Mask for Face - LED Facial Skin Care Mask</t>
  </si>
  <si>
    <t>918</t>
  </si>
  <si>
    <t>美01月20日 22:02</t>
  </si>
  <si>
    <t>B0FZJPKLLT</t>
  </si>
  <si>
    <t>Red Light Therapy for Face, 336 LED Face Mask Light Therapy, 4 Color Modes with Wireless Timer Controller &amp; Eye Protection, Rechargeable LED Light Therapy Mask for Home Skincare</t>
  </si>
  <si>
    <t>AC,自然,SP</t>
  </si>
  <si>
    <t>美01月14日 19:00</t>
  </si>
  <si>
    <t>B0G11M9QFN</t>
  </si>
  <si>
    <t>EVFOFO Red Light Therapy for Face, Light Therapy Mask for Firming, Wrinkles &amp; Acne, Wireless Red &amp; 850nm Infrared Light Silicone Mask, 7-Color LED Face Mask Portable for Use at Home &amp; Travel, Black</t>
  </si>
  <si>
    <t>295</t>
  </si>
  <si>
    <t>美01月15日 17:00</t>
  </si>
  <si>
    <t>B0GCJQF4J5</t>
  </si>
  <si>
    <t>YOEYOU Red Light Face Mask and Activating Serum</t>
  </si>
  <si>
    <t>B0F8W1YG6M</t>
  </si>
  <si>
    <t>mypurskin Pro Grade Light Therapy Face Mask, 264 LED, Clinically Proven 4-50x Higher Dose, 4 Red &amp; Infrared Wavelengths for Facial Redness, Wrinkles, for Women &amp; Men</t>
  </si>
  <si>
    <t>SBV,SOR</t>
  </si>
  <si>
    <t>B0FHQC9JJL</t>
  </si>
  <si>
    <t>biuufish Red Light Therapy for Face, 8 Colors LED Face Mask Light Therapy with 850NM Near-infrared, 3000 mAh Rechargeable Red Light Therapy Mask Skin Care Device at Home and Travel for Anti-Aging</t>
  </si>
  <si>
    <t>101</t>
  </si>
  <si>
    <t>美01月19日 18:01</t>
  </si>
  <si>
    <t>B0DQBTCWKB</t>
  </si>
  <si>
    <t>Red Light Mask for Face &amp; Neck – Lightweight LED Face Mask 1.2 lbs with Eye Holes, Adjustable Straps, and Advanced LED Technology Red Light Face Mask</t>
  </si>
  <si>
    <t>美01月21日 02:00</t>
  </si>
  <si>
    <t>B0GFWL82ZH</t>
  </si>
  <si>
    <t>YOEYOU Red Light Face&amp;Neck Mask, Activating Serum and Recovery Lotion</t>
  </si>
  <si>
    <t>B0FQMCY76G</t>
  </si>
  <si>
    <t>ARIVEA Red Light Therapy Mask for Face – Portable Wireless LED Face Mask with 3 Modes (Red, Blue, Infrared 850nm), Cordless Anti-Aging Light Therapy for Wrinkle Reduction, Acne Care &amp; at-Home Skin</t>
  </si>
  <si>
    <t>美01月18日 08:01</t>
  </si>
  <si>
    <t>B0F9WMCMZR</t>
  </si>
  <si>
    <t>Facego 7 Colours Red Light Face Mask-Black &amp; 10- Count Hydrating Sheet Mask</t>
  </si>
  <si>
    <t>B0GFX242PX</t>
  </si>
  <si>
    <t>YOEYOU Red Light Face&amp;Neck Mask and Activating Serum</t>
  </si>
  <si>
    <t>B0FDGMGWK1</t>
  </si>
  <si>
    <t>CurrentBody Skin LED Face &amp; Neck Kit: Series 2 | Anti-aging for your Face, Neck and Chest with Red Light Therapy</t>
  </si>
  <si>
    <t>B0G6CDS6PV</t>
  </si>
  <si>
    <t>Auxoliev Red Light Therapy Mask for Face,4 Modes LED Face Mask Light Therapy,Acne Removal Wrinkles &amp; Redness Anti-Aging,2000mAh Rechargeable,Wirless Remote,Infrared Photon Facial Mask,Pink&amp;Black</t>
  </si>
  <si>
    <t>B0GF8F2R45</t>
  </si>
  <si>
    <t>YOEYOU Red Light Face Mask and Activating Lotion</t>
  </si>
  <si>
    <t>B0GF8HBHFN</t>
  </si>
  <si>
    <t>YOEYOU Red Light Face Mask, Activating Serum and Recovery Lotion</t>
  </si>
  <si>
    <t>B0FLJJ2QJL</t>
  </si>
  <si>
    <t>INIA Glow Wireless Red Light Therapy Mask for Face, Neck &amp; Décolleté</t>
  </si>
  <si>
    <t>B0FHFLPFVC</t>
  </si>
  <si>
    <t>Red Light Therapy for Face, Waterproof Wireless 272 LED Mask with 850nm NIR, 4 Modes 60-Min Battery, 2 Controllers, Timer Function, Enjoy Salon-Level Results for Home Working Travel Yoga</t>
  </si>
  <si>
    <t>62</t>
  </si>
  <si>
    <t>美12月31日 09:02</t>
  </si>
  <si>
    <t>美01月11日 00:01</t>
  </si>
  <si>
    <t>B0GF8PGXPT</t>
  </si>
  <si>
    <t>B0GFWPLGNL</t>
  </si>
  <si>
    <t>YOEYOU Red Light Face&amp;Neck Mask and Activating Lotion</t>
  </si>
  <si>
    <t>B0D9CB55M9</t>
  </si>
  <si>
    <t>HigherDOSE Red Light Therapy Face Mask &amp; Light-Activated Glow Serum - Cordless LED Facial Light Therapy Promotes Cellular Renewal &amp; Glowing Skin - Collagen Face Serum Boosts Infrared Benefits (2 Pcs)</t>
  </si>
  <si>
    <t>P1-28</t>
  </si>
  <si>
    <t>B0FLJHD6D8</t>
  </si>
  <si>
    <t>B0D5W8D74R</t>
  </si>
  <si>
    <t>Lovsheme Red Light Therapy for Face, LED Face Mask Light Therapy, Omnilux Red Light Therapy Mask for Wrinkles, Acne, Skin Rejuvenation, 320 LEDs, 3 Modes, 10-Min Auto Off, Eye Protection Included</t>
  </si>
  <si>
    <t>167</t>
  </si>
  <si>
    <t>B0FLJJ45VS</t>
  </si>
  <si>
    <t>B0FHH7YJQG</t>
  </si>
  <si>
    <t>Soeumoir Red Light Therapy Mask, 7 Colors LED Face Mask Light Therapy with Rechargeable Controller, 850NM Near-Infrared Red Light Therapy Mask with Timing Function for Home Working Travel Skincare</t>
  </si>
  <si>
    <t>B0F1SZXHPS</t>
  </si>
  <si>
    <t>Hello Face Red Light Therapy for Face, 280 LEDs Infrared Light Led Face Mask Light Therapy for Facial Skin Care, Ultra-Soft Led Mask Light Therapy for 4 Modes with Eye Protection, 3000mAh Battery</t>
  </si>
  <si>
    <t>70</t>
  </si>
  <si>
    <t>B0G2G25DFS</t>
  </si>
  <si>
    <t>Zasabel Red Light Therapy Mask for Face &amp; Neck, LED Face Light Therapy, Portable Skincare Set Suitable for At-Home and Travel Skincare, Brightens Skin Tone and Revitalizes Skin</t>
  </si>
  <si>
    <t>B0FC3235WR</t>
  </si>
  <si>
    <t>BUBLOC Red Light Therapy Mask Kit, 7+1 Color Near-infrared 850 Light for Neck &amp; Decollete, Portable and Rechargeable, Cordless, Light Therapy At Home and Wireless Led Face Mask [BMask&amp;Neck Pro]</t>
  </si>
  <si>
    <t>美01月09日 20:00</t>
  </si>
  <si>
    <t>美01月18日 05:01</t>
  </si>
  <si>
    <t>B0G2RMR5TH</t>
  </si>
  <si>
    <t>MEGELIN Duo-Lux LED Light Therapy Mask</t>
  </si>
  <si>
    <t>B0DHZN1N7P</t>
  </si>
  <si>
    <t>Red Light Mask for Face Women - 7 Colors Red Light Face Mask, Face Mask Skincare at Home, Cordless Device, Skin Care Mask Suitable for Women</t>
  </si>
  <si>
    <t>106</t>
  </si>
  <si>
    <t>B0FPQDYYVP</t>
  </si>
  <si>
    <t>LED Light Therapy Mask Skin Care Mask,LED Red LED Red 630±5nm &amp; NIR 830nm Wavelength for Home Use</t>
  </si>
  <si>
    <t>3.3</t>
  </si>
  <si>
    <t>P3-22</t>
  </si>
  <si>
    <t>美01月02日 13:01</t>
  </si>
  <si>
    <t>B0DGTFQNKJ</t>
  </si>
  <si>
    <t>NVBOTY LED Face Mask Light Therapy, 4 Modes Portable Red Light Therapy for Face, 2000mAh Rechargeable Remote, Blue, Orange, 850NM Infrared &amp; Red Light Mask, 400 LEDs, Timing Function, at Home &amp; Travel</t>
  </si>
  <si>
    <t>1150</t>
  </si>
  <si>
    <t>B0FPM6N8R1</t>
  </si>
  <si>
    <t>B0DTJT1GWH</t>
  </si>
  <si>
    <t>JOVS LED Light Therapy Face Mask, Wireless Red Light Therapy Mask for Face, Portable Skin Care Beauty Device Intelligent Beauty Solution at Home Use, 4 Modes for Visible Results</t>
  </si>
  <si>
    <t>B0DVT5V2QH</t>
  </si>
  <si>
    <t>Premium Skin Rejuvenating 3-in-1 Spa Bundle - (Pack of 6) Facial Steamer Spa Kit + (4 Pcs) LED Face Mask Light Therapy Kit With Scrubber Sonic Brush &amp; Green Tea Serum + [12 Pack] Jelly Face Mask Set</t>
  </si>
  <si>
    <t>B0FKHPVJF8</t>
  </si>
  <si>
    <t>LED Light Therapy mask (E106A) for Face, LED Light Therapy Mask with Adjustable Brightness and Timer, Soft Silicone Red Light Therapy Mask for Home &amp; Travel, Black</t>
  </si>
  <si>
    <t>美01月11日 18:02</t>
  </si>
  <si>
    <t>B0FS1Z1LTN</t>
  </si>
  <si>
    <t>Red Light Therapy for Face – PRUNGO LED Mask with 3 Light Modes, Portable Rechargeable Device, 850nm Infrared, Lightweight &amp; Comfortable with Remote Control and Timer, Equipped with 280 LED Lights</t>
  </si>
  <si>
    <t>自然,SBV,SP</t>
  </si>
  <si>
    <t>美12月28日 13:01</t>
  </si>
  <si>
    <t>B0F4R3631L</t>
  </si>
  <si>
    <t>Red Light Therapy Mask for Face, 3000 mAh Rechargeable LED Face Mask Light Therapy with 850NM Near-Infrared, 8 Colors Red Light Mask, Skin Care Device at Home and Travel for Skin Rejuvenation</t>
  </si>
  <si>
    <t>86</t>
  </si>
  <si>
    <t>B0F8HBSSSB</t>
  </si>
  <si>
    <t>IBORRIA Red Light Therapy for Face, LED Face Mask Infrared Light Anti-Aging, 3 Modes for Blue &amp; Yellow LED for Home, Yoga, Skincare, 2500mAh Rechargeable Remote Control, Adjustable Straps, Silicone</t>
  </si>
  <si>
    <t>B0FV7KYZT4</t>
  </si>
  <si>
    <t>SDKWDH Red Light Mask for Face, 7-1 Colors Facial Care Mask, 850nm Infrared &amp; Red Light Masks, Ergonomic Design for Home &amp; Travel</t>
  </si>
  <si>
    <t>美01月16日 17:01</t>
  </si>
  <si>
    <t>B0DHZT2JBC</t>
  </si>
  <si>
    <t>美12月28日 22:01</t>
  </si>
  <si>
    <t>B0FX9WHBYN</t>
  </si>
  <si>
    <t>Onisdin Red Light mask set, Red Light for Face and Neck,630nm infrared light and 850nm near-infrared light</t>
  </si>
  <si>
    <t>P3-16</t>
  </si>
  <si>
    <t>美01月16日 23:02</t>
  </si>
  <si>
    <t>B0DCNB6ZWK</t>
  </si>
  <si>
    <t>JOVS 4D Laser Light Therapy Mask - Red Light Therapy for Face, Led Face Mask Light Therapy, 6x Powerful More Than LED, FPT Technology, 4 Wavelengths, Anti-Aging</t>
  </si>
  <si>
    <t>127</t>
  </si>
  <si>
    <t>美01月17日 20:01</t>
  </si>
  <si>
    <t>B0D9M2395T</t>
  </si>
  <si>
    <t>Red Light Therapy Mask for Face, 8 Modes LED Face Mask Light Therapy with 288 LEDs, 630nm &amp; 850nm Infrared Light Therapy Mask at Home, Portable with Timer &amp; 2600mAh Remote Control.</t>
  </si>
  <si>
    <t>美01月15日 07:03</t>
  </si>
  <si>
    <t>B0FNWRJQFX</t>
  </si>
  <si>
    <t>INIA Glow 4D Wireless Red Light Therapy Mask for face – Dual NIR, 320 LEDs, 4 Modes, Under-Eye Cooling, Cordless &amp; Rechargeable LED Face Mask for Home &amp; Travel, Skincare Gifts for Women Mom Wife, Blue</t>
  </si>
  <si>
    <t>美01月18日 07:02</t>
  </si>
  <si>
    <t>B0D5WB3ZDP</t>
  </si>
  <si>
    <t>BeaRay LED Face Mask Light Therapy, 7 Colors for Skin Vitality, Home Beauty Device - Light Therapy for Face</t>
  </si>
  <si>
    <t>美01月10日 00:01</t>
  </si>
  <si>
    <t>美01月04日 09:00</t>
  </si>
  <si>
    <t>B0G1YGQQJT</t>
  </si>
  <si>
    <t>MEGELIN Led Red Light Therapy Face &amp; Neck Mask, 7 Colors Led Light Therapy Facial Mask, Infrared Red Light Therapy Mask, Infrared Light Skin Rejuvenation(White)</t>
  </si>
  <si>
    <t>111</t>
  </si>
  <si>
    <t>B0D6QQ4PGR</t>
  </si>
  <si>
    <t>SUERBEATY Red Light Mask for Face, 7 Colors Red Light Mask, Cordless &amp; Portable for Home &amp; Travel, Rechargeable, Lightweight, Facial Skin Care for Women - Mom, Sister, Girlfriend and Wife - Green</t>
  </si>
  <si>
    <t>174</t>
  </si>
  <si>
    <t>美12月23日 15:00</t>
  </si>
  <si>
    <t>B0F6S3Z3KZ</t>
  </si>
  <si>
    <t>DZAVOK Red Light Therapy For Face, 7 Modes Portable Therapy Mask With 3000mah Rechargeable Remote, Blue, Orange, 850nm Infrared &amp; Red Light Mask, 400 Leds For Anti-Aging</t>
  </si>
  <si>
    <t>61</t>
  </si>
  <si>
    <t>B0CRVG6M56</t>
  </si>
  <si>
    <t>ANGAUSS 7 Color LED Face Mask Light Therapy, Red Light Therapy Mask for Face for Anti Aging Wrinkles, Silicone Red Light Mask Skin Care at Home with Eye Protection Cushion</t>
  </si>
  <si>
    <t>663</t>
  </si>
  <si>
    <t>P3-17</t>
  </si>
  <si>
    <t>美12月29日 13:00</t>
  </si>
  <si>
    <t>美01月01日 09:01</t>
  </si>
  <si>
    <t>B0F66RPDWY</t>
  </si>
  <si>
    <t>Duuckin Red Light Therapy Mask for Face, LED Face Mask Light Therapy with Rechargeable Remote, Led Face Mask Light Therapy, Black</t>
  </si>
  <si>
    <t>美01月06日 00:01</t>
  </si>
  <si>
    <t>B0DH2SKBF1</t>
  </si>
  <si>
    <t>Glov Beauty Anti-Aging LED Face Mask Red Light Therapy for Wrinkles, Fine Lines &amp; Firmer Skin - Four Color Modes - Easy 10 Minute Session, Rechargeable, Facial Home Spa Device</t>
  </si>
  <si>
    <t>美01月03日 20:00</t>
  </si>
  <si>
    <t>B0F4C8LQ54</t>
  </si>
  <si>
    <t>Red Light for Face,Red Light Mask For Face And Neck Women,25°C-32°C Heated Infrared Face Mask,Anti-Aging Infrared,LED 940nm IR</t>
  </si>
  <si>
    <t>美12月24日 11:00</t>
  </si>
  <si>
    <t>B0F1CGL25F</t>
  </si>
  <si>
    <t>BeaRay LED Face Mask Light Therapy – 7-in-1 Colors Facial Skin Care Mask for At-Home Use, Portable, Cordless &amp; USB Rechargeable (Gold)</t>
  </si>
  <si>
    <t>B0F8VHV4HT</t>
  </si>
  <si>
    <t>Red Light Therapy for Face, 4 Modes LED Face Mask Infrared Light Therapy with Remote, Portable and Rechargeable Design with Timer Function for Home Use</t>
  </si>
  <si>
    <t>美01月02日 00:24</t>
  </si>
  <si>
    <t>B0DJHDHN68</t>
  </si>
  <si>
    <t>Lifepro LED Silicone Face Mask - LED Red Light Therapy Face Mask with 3 Colors for Face and Neck - Portable Skin Care Device for at-Home Facials</t>
  </si>
  <si>
    <t>190</t>
  </si>
  <si>
    <t>美01月08日 07:02</t>
  </si>
  <si>
    <t>B0G46KNGR6</t>
  </si>
  <si>
    <t>P3-15</t>
  </si>
  <si>
    <t>美12月27日 12:02</t>
  </si>
  <si>
    <t>美12月26日 13:00</t>
  </si>
  <si>
    <t>B0F6CL81RS</t>
  </si>
  <si>
    <t>Red Light Therapy Mask for Face, 7 Modes Led Face Mask Light Therapy with Eye Protection and Remote, Rechargeable Portable Design Red LED Light Therapy Mask, Timing Function, 180 LEDs, Home Use</t>
  </si>
  <si>
    <t>28</t>
  </si>
  <si>
    <t>P3-30</t>
  </si>
  <si>
    <t>B0F1FWSG6G</t>
  </si>
  <si>
    <t>TGML LED Light Therapy Mask(FM-01), Blue &amp; Red Light Face Mask, Rechargeable &amp; Portable for Travel and Home Use</t>
  </si>
  <si>
    <t>美12月30日 10:02</t>
  </si>
  <si>
    <t>B0FL6WP6ZR</t>
  </si>
  <si>
    <t>GUFOYE Red Light Therapy for Face Mask with Ice Compress, 850nm Infrared Red Light Therapy, 7+1 Light Modes Led Face Mask Light Therapy, Level 5 Timing, 3000mAh, Led Mask Light Therapy for Home, Blue</t>
  </si>
  <si>
    <t>美12月22日 02:01</t>
  </si>
  <si>
    <t>B0FWJ9NBN7</t>
  </si>
  <si>
    <t>美01月06日 15:01</t>
  </si>
  <si>
    <t>B0FHWH98RV</t>
  </si>
  <si>
    <t>LED Facial Mask for Inflammatory Acne,Red Light Therapy Mask for Face,4 Modes Acne Removal Wrinkles&amp;Redness Anti-Aging,2000mAh Rechargeable,Wirless Remote,Infrared Photon Facial Mask for Travel Yoga</t>
  </si>
  <si>
    <t>美01月06日 13:00</t>
  </si>
  <si>
    <t>B0FX9FJT2C</t>
  </si>
  <si>
    <t>Yahi Red Light Therapy for Face and Neck, Rechargeable and Ergonomic Design for Home &amp; Travel, Cordless Face Mask Light Therapy, White</t>
  </si>
  <si>
    <t>美12月30日 18:01</t>
  </si>
  <si>
    <t>B0F3W19V2K</t>
  </si>
  <si>
    <t>KNNKNN Red Light Therapy for face,Blue LED Light Therapy Mask,7-1 Colors LED Facial Skincare Mask at Home,USB Rechargeable,Cordless</t>
  </si>
  <si>
    <t>59</t>
  </si>
  <si>
    <t>美01月10日 10:02</t>
  </si>
  <si>
    <t>B0F7J388F8</t>
  </si>
  <si>
    <t>Red Light Therapy Mask for Face – Non-Medical LED Light Device for Skin Care &amp; Healthy Glow – Home Use Facial Mask with Adjustable Fit – Comfortable Reusable Design (Flower Green)</t>
  </si>
  <si>
    <t>美12月30日 04:01</t>
  </si>
  <si>
    <t>B0DK8MH28D</t>
  </si>
  <si>
    <t>Infrared Red Light Therapy Mask: High Power Facial Skincare Device for Glowing Skin – Ultra-Thin 1.8mm 4.6oz, 830nm 633nm 590nm, Red Light Therapy for face Luxury Gift- Golden Windmill</t>
  </si>
  <si>
    <t>105</t>
  </si>
  <si>
    <t>P3-14</t>
  </si>
  <si>
    <t>B073RHGQPR</t>
  </si>
  <si>
    <t>iDerma Red Light Therapy for Face – LED Face Mask for Eyes, Neck &amp; Skin | Infrared Therapy Mask for Anti-Aging, Wrinkles, Skin Rejuvenation</t>
  </si>
  <si>
    <t>美01月12日 22:01</t>
  </si>
  <si>
    <t>B0F7Z7CKJL</t>
  </si>
  <si>
    <t>自然,SBV</t>
  </si>
  <si>
    <t>美01月10日 19:02</t>
  </si>
  <si>
    <t>B0FLPR41FR</t>
  </si>
  <si>
    <t>Greprety Red Light Therapy Mask for Face, LED Face Mask with 7 Colors Modes, Rechargeable Beauty Device with Eye Shields, Adjustable Straps &amp; Timer for Home Travel Skincare</t>
  </si>
  <si>
    <t>美12月22日 16:02</t>
  </si>
  <si>
    <t>B0FBS2HW25</t>
  </si>
  <si>
    <t>Red Light Therapy for Face LED Face Mask Light Therapy Cordless USB Rechargeable,Red Mask for Home Working Travel Yoga Sleep</t>
  </si>
  <si>
    <t>B0D6LKD67Y</t>
  </si>
  <si>
    <t>Red Light Therapy for Face, 8 Colors LED Face Mask Light Therapy with 850NM Near-Infrared, 3000 mAh Rechargeable Red Light Therapy Mask, Skin Care Device at Home and Travel for Skin Rejuvenation</t>
  </si>
  <si>
    <t>B0FRF5Z13Z</t>
  </si>
  <si>
    <t>YuRui TENG Red Light Therapy for Face 7 -color light modes，3-in-1 Fusion LED Beads, 1200mAh red light therapy face mask with timer, suitable for home use ， Brighten and tighten skin tone (Black)</t>
  </si>
  <si>
    <t>B0FKRW31V9</t>
  </si>
  <si>
    <t>ReLuien Red Light Therapy Mask Flexible Silicone LED Face Mask (660nm &amp; 850nm Near-Infrared) - Anti-Aging Device for Wrinkles &amp; Skin Rejuvenation - Soft Fit with Remote &amp; Timer(Grey)</t>
  </si>
  <si>
    <t>美12月27日 13:00</t>
  </si>
  <si>
    <t>B0FW4ZZQZX</t>
  </si>
  <si>
    <t>SDKWDH Red Light Mask for Face, 7-1 Colors Facial Care Mask, 850nm Infrared &amp; Red Light Masks, Ergonomic Design for Home &amp; Travel, White</t>
  </si>
  <si>
    <t>2.7</t>
  </si>
  <si>
    <t>美01月13日 11:02</t>
  </si>
  <si>
    <t>B0F1SZDFC1</t>
  </si>
  <si>
    <t>B0F7RH3D8T</t>
  </si>
  <si>
    <t>SMOOTHPRO Red Light therapy Mask for Face Wrinkles,Silicone Portable Led Facial Mask Light Therapy for Full Face Even Skin Tone,Fine Lines&amp;Wrinkles,10- Min Treatment,Wired</t>
  </si>
  <si>
    <t>美12月25日 00:01</t>
  </si>
  <si>
    <t>B0D3X7PNFX</t>
  </si>
  <si>
    <t>Seven-Colors Light, DELOO LED Facial Mask Device for Home Use, Multi-Color Light Mask for Daily Enjoyment</t>
  </si>
  <si>
    <t>美12月28日 17:00</t>
  </si>
  <si>
    <t>B0F49768HG</t>
  </si>
  <si>
    <t>Shark CryoGlow Lilac Chill LED Face Mask + FlexFusion Hair Dryer Bundle with Fusion Hair Brush, Ceramic Air Styler with Auto-Wrap Hair Curlers &amp; Concentrator, Anti-Ageing &amp; Blemish Repair</t>
  </si>
  <si>
    <t>美01月12日 14:02</t>
  </si>
  <si>
    <t>B0D8BKM4FF</t>
  </si>
  <si>
    <t>BETNEP Red Light Therapy for Face, LED Face Mask Light Therapy,Near-Infrared 850 Red Light Therapy Mask(NIR),Portable,Rechargeable and Remote</t>
  </si>
  <si>
    <t>112</t>
  </si>
  <si>
    <t>美01月01日 17:01</t>
  </si>
  <si>
    <t>B0FSZHPC99</t>
  </si>
  <si>
    <t>CAMLKE Red Light Therapy Mask for Face &amp; Neck, LED Infrared Light Therapy Device,USB-C Rechargeable,Skin Rejuvenation &amp; Anti-Aging,Infrared Lights Masks for Home Working Travel Yoga Sleep</t>
  </si>
  <si>
    <t>美01月07日 09:01</t>
  </si>
  <si>
    <t>B0FL8LTY8Q</t>
  </si>
  <si>
    <t>BluMora Led Face Mask Light Therapy - Red Light Therapy Mask inspired by Korean Skin Care - 8 Color Modes with Blue, Red &amp; NIR Lights - 3D Lightweight Design for Skin Revitalization (RB-081)</t>
  </si>
  <si>
    <t>美01月05日 19:02</t>
  </si>
  <si>
    <t>美01月05日 14:01</t>
  </si>
  <si>
    <t>B0FSZLQRRD</t>
  </si>
  <si>
    <t>JAY SAREES Red-Light-Therapy-for-Face, 7-1 Colors Led Face Mask Light Therapy, Facial Skin Care Mask (Gold)</t>
  </si>
  <si>
    <t>P3-48</t>
  </si>
  <si>
    <t>B0DS2L8JTW</t>
  </si>
  <si>
    <t>VIVIDCHARM Red Light Therapy Mask for Face - 7+1 Colors LED Light Facial Mask,Cordless,Skin Care at Home,Great Gifts for Women Girlfriend Mom Mothers Day Birthday Christmas Gift</t>
  </si>
  <si>
    <t>美01月10日 15:00</t>
  </si>
  <si>
    <t>B0F8PYVTXS</t>
  </si>
  <si>
    <t>LED Light Therapy Mask Skin Care Mask &amp; neck, LED Red 630±5nm &amp; NIR 830nm Wavelength for Home Use</t>
  </si>
  <si>
    <t>B0F5HP1T9S</t>
  </si>
  <si>
    <t>JOVS 4D Laser Therapy Mask for Face, LED Red Light Therapy Face Mask with 4 Wavelengths for Deep Anti-Aging, Precision Anti-Wrinkle, Skin Firming &amp; Radiant Glow, 6x More Powerful Than LED</t>
  </si>
  <si>
    <t>39</t>
  </si>
  <si>
    <t>美01月12日 20:02</t>
  </si>
  <si>
    <t>B0FHBDMS33</t>
  </si>
  <si>
    <t>INTEO Red Light Therapy for Face 4 Modes, Breathable Red Light Therapy Mask with 4 Color Light Modes, 850NM Infrared LED Face Mask Light Therapy with Timer, Portable Led Mask for Home &amp; Travel</t>
  </si>
  <si>
    <t>美01月09日 03:02</t>
  </si>
  <si>
    <t>B0B2RM68G2</t>
  </si>
  <si>
    <t>BIODANCE Bio-Collagen Real Deep Mask, Hydrating Overnight Hydrogel Mask, Pore Minimizing, Elasticity, Plumping Improvement, Korean Skin Care, Valentines Day Gifts for Her | 1.19oz(34g) x 4ea</t>
  </si>
  <si>
    <t>33091</t>
  </si>
  <si>
    <t>美01月01日 14:00</t>
  </si>
  <si>
    <t>B0DQTY8Z52</t>
  </si>
  <si>
    <t>Facego Red Light Mask for Face and Neck - Facial Skin Care Device, Portable, Lightweight, Rechargeable and Ergonomic Design for Home (Black)</t>
  </si>
  <si>
    <t>71</t>
  </si>
  <si>
    <t>B0CDX275Q2</t>
  </si>
  <si>
    <t>CurrentBody Skin LED Light Therapy Face Mask | Red Light Therapy Treatment Device | Anti-Aging Face Mask for Wrinkle Reduction</t>
  </si>
  <si>
    <t>122</t>
  </si>
  <si>
    <t>B0F4RFTHCS</t>
  </si>
  <si>
    <t>RELEXNOW LED Fcae Mask Light Therapy, 8 Modes 288 Beads Red Light Therapy for Face, Portable Remote Timer, 630nm &amp; 850nm Infrared Therapy Mask for Anti-Aging, Skin Rejuvenation at Home</t>
  </si>
  <si>
    <t>美01月02日 11:02</t>
  </si>
  <si>
    <t>B0FP1C7FDS</t>
  </si>
  <si>
    <t>EVFOFO Red Light Therapy Mask for Face, 7 Colors LED Face Mask Light Therapy At Home, Led Face Mask Light Therapy, Black</t>
  </si>
  <si>
    <t>P3-41</t>
  </si>
  <si>
    <t>美12月29日 14:00</t>
  </si>
  <si>
    <t>B0FLK4J6Q2</t>
  </si>
  <si>
    <t>Red Light Therapy for Face, Wireless Face Mask Light Therapy, 4 Modes &amp; 400 LEDs, Infrared &amp; Red Light Masks, 2000mAh Rechargeable, Facial Fit, Led Light Therapy Skin Care at Home（Pink）</t>
  </si>
  <si>
    <t>美12月28日 06:00</t>
  </si>
  <si>
    <t>B0FNCV5LS8</t>
  </si>
  <si>
    <t>Nexcrate Red Light Therapy Mask For Face And Neck,850nm Near Infrared &amp; Red Light,Rechargeable Led Face Mask For Anti-Aging, Skin Firming &amp; Radiant Glow At Home</t>
  </si>
  <si>
    <t>美01月05日 07:03</t>
  </si>
  <si>
    <t>B0FX8CPCV4</t>
  </si>
  <si>
    <t>SDKWDH LED Light Therapy Mask, Red Light Therapy for Face - Red Light for Anti-Aging &amp; Wrinkles, Blue for Acne, IR for Deep Repair, At-Home Device, FDA Cleared, Portable &amp; Rechargeable, Pink</t>
  </si>
  <si>
    <t>B0DFCF52KD</t>
  </si>
  <si>
    <t>Red Light Therapy for Face, 7-1 Colors Portable Led Face Mask Light Therapy with Remote, Near-Infrared 850nm Wavelength with Timing Function for Anti-Aging Skincare at Home 288 LED Beads</t>
  </si>
  <si>
    <t>30</t>
  </si>
  <si>
    <t>美12月28日 12:01</t>
  </si>
  <si>
    <t>B0G2BHGT2G</t>
  </si>
  <si>
    <t>Red Light Therapy for Face – FSA Eligible LED Face Mask with Red, Blue, Near-Infrared Light – Wireless Light Therapy Mask for Face – 3 Light Modes, Adjustable Timer and Brightness</t>
  </si>
  <si>
    <t>美12月30日 14:02</t>
  </si>
  <si>
    <t>B0FQK23116</t>
  </si>
  <si>
    <t>Beauty Pie C-Wave Light Facial LED Mask – Dual Red + Near-Infrared 630/830 nm Phototherapy Device for Wrinkles, Firming &amp; Even Skin Tone</t>
  </si>
  <si>
    <t>B0FNQ7DZDX</t>
  </si>
  <si>
    <t>DGYAO Cordless Red Infrared Light Therapy for Face Mask 7 Colors Portable and Rechargeable LED Light Therapy Facial Beauty Skin Care Tool Home and Travel Use</t>
  </si>
  <si>
    <t>美01月09日 15:02</t>
  </si>
  <si>
    <t>B0FXG227D9</t>
  </si>
  <si>
    <t>Red Light Photon Facial &amp; Neck Mask with Remote Control, 7 Custom Modes with Infrared, Portable &amp; Rechargeable with Timer for Home Use, 850nm Infrared &amp; Red Light Masks, Black</t>
  </si>
  <si>
    <t>P2-31</t>
  </si>
  <si>
    <t>美01月03日 11:00</t>
  </si>
  <si>
    <t>美12月27日 16:01</t>
  </si>
  <si>
    <t>B0F9P5JM77</t>
  </si>
  <si>
    <t>Red Light Therapy for Face, Near-infrared Led Face Mask Light Therapy with Remote, 3 Modes, 850nm Red Light Mask with Timing Function, Portable Led Light Therapy At Home 180 LED Beads</t>
  </si>
  <si>
    <t>B0FMK9D1CS</t>
  </si>
  <si>
    <t>Stofiro FDA-Cleared 850nm Red Light Therapy Mask for Face with Eye Protection, Christmas Birthday Mother’s Day Gifts for Women, Home Beauty Device</t>
  </si>
  <si>
    <t>45</t>
  </si>
  <si>
    <t>美12月23日 19:01</t>
  </si>
  <si>
    <t>B0FNVDK1V1</t>
  </si>
  <si>
    <t>Infrared Red Light Therapy for Face: 4 Light Mode Red Light Therapy with Cooling, Home Use Beauty Equipment for All Skin Types, Christmas Birthday Gifts for Women Mom</t>
  </si>
  <si>
    <t>3.6</t>
  </si>
  <si>
    <t>美01月13日 14:00</t>
  </si>
  <si>
    <t>B0DWXBTXHS</t>
  </si>
  <si>
    <t>EVFOFO Red Light Therapy Mask for Face, Led Face Mask Light Therapy, 7 Colors LED Face Mask Light Therapy At Home, Pink</t>
  </si>
  <si>
    <t>B0G4QLRZDG</t>
  </si>
  <si>
    <t>Glokore Red Light Therapy Mask, Reduce Inflammation, Improve Skin Texture, Restore Moisture Barrier for Home Use, Working, Travel, Yoga</t>
  </si>
  <si>
    <t>B0CC65Q4H5</t>
  </si>
  <si>
    <t>Duevie LED Facial Mask Red Light Therapy Mask FSA/HSA Eligible 7 Colors Facial Skin Care Mask for Acne Reduction Skin Rejuvenation Anti-Aging Wrinkle Acne</t>
  </si>
  <si>
    <t>B0F4QZNV88</t>
  </si>
  <si>
    <t>Red Light Therapy Mask for Face - FDA-Cleared 400-850nm LED Red &amp; Near-Infrared Light for Skin Rejuvenation, 8 Skin Care Modes, Home Beauty Device, Relaxing Birthday Mother’s Day Gifts for Women</t>
  </si>
  <si>
    <t>79</t>
  </si>
  <si>
    <t>美01月11日 20:01</t>
  </si>
  <si>
    <t>B0DKP5476B</t>
  </si>
  <si>
    <t>GYH 8-Color LED Light Therapy Face &amp; Neck Mask with Handheld Light Wand - Infrared &amp; Red Light Therapy for Face, FSA/HSA Eligible, Wireless,Lightweight - Anti-Aging&amp;Wrinkle Reduction,PremiumS(2950mAh)</t>
  </si>
  <si>
    <t>B0FTMNKTS6</t>
  </si>
  <si>
    <t>LED Facial Light Therapy Mask for Acne &amp; Skin Rejuvenation Flexible Silicone Face Mask with infrared Red Light Therapy Modes, Rechargeable Remote Controller, At-Home Skincare Device for Sensitive Skin</t>
  </si>
  <si>
    <t>B0FBJ32L8G</t>
  </si>
  <si>
    <t>美12月29日 10:01</t>
  </si>
  <si>
    <t>B0FFGFZJB3</t>
  </si>
  <si>
    <t>BOLENDA Ultra-lightweight Red light Therapy Mask for Face, LED Face Mask Light Therapy, Red Light for Wrinkles Blue Light for Acne,Timing 10-minute</t>
  </si>
  <si>
    <t>美12月26日 15:02</t>
  </si>
  <si>
    <t>B0FG7CBL74</t>
  </si>
  <si>
    <t>BIXTOOR Red Light Therapy for Face, 7 Colors LED Mask Light Therapy, Infrared Face Mask Light Therapy for Reduce Wrinkles, Skincare at Home and Travel, Green</t>
  </si>
  <si>
    <t>B0F8MZ379M</t>
  </si>
  <si>
    <t>Red Light Therapy Mask, 7 Colors LED Face Mask Red Light Therapy with Rechargeable Controller, Near-Infrared LED Light Therapy Mask with Timing Function for Home Skincare</t>
  </si>
  <si>
    <t>美12月29日 02:00</t>
  </si>
  <si>
    <t>B0D9W25CXW</t>
  </si>
  <si>
    <t>Red Light Therapy for Face 8 Modes, 630nm &amp; 850nm Infrared LED Face Mask Light Therapy with 2600mAh Timer Remote, Red Light Therapy Mask for Home Use Anti-Aging &amp; Skin Care</t>
  </si>
  <si>
    <t>P2-48</t>
  </si>
  <si>
    <t>B0FL6W8BS9</t>
  </si>
  <si>
    <t>Red Light Therapy for Face Mask with Ice Compress, 850nm Infrared Red Light Therapy, 7+1 Light Modes Led Face Mask Light Therapy, Level 5 Timing, 3000mAh, Led Mask Light Therapy for Home, Orange</t>
  </si>
  <si>
    <t>B0DQBPYJ4X</t>
  </si>
  <si>
    <t>Nourished Bodynskin Portable LED Face Mask with Near-Infrared - Blue, Red Light Therapy for Face - 114 LEDs - Skincare Tool for Wrinkles, Anti-Aging</t>
  </si>
  <si>
    <t>131</t>
  </si>
  <si>
    <t>美12月26日 22:01</t>
  </si>
  <si>
    <t>B0FLP1TZW7</t>
  </si>
  <si>
    <t>HALIDODO Red Light Therapy for Face, 4 Modes LED Face Mask Light Therapy, 2000mAh Cord-Free Controller with 400 LEDs, Blue, Orange, 850nm Near-Infrared Light Mask with Timer Function at Home (Pink)</t>
  </si>
  <si>
    <t>美12月30日 07:00</t>
  </si>
  <si>
    <t>B0FQBGQQSK</t>
  </si>
  <si>
    <t>LANSSPARIE LED Light Therapy Mask, 7 Modes Soft Silicone Red Light Therapy Mask for Face and Neck, Red Light Face Mask with 5 Brightness Levels for Anti-Aging, Skincare at Home &amp; Travel - E106A</t>
  </si>
  <si>
    <t>B0D95GGXJX</t>
  </si>
  <si>
    <t>HIME SAMA Led Face Mask, FSA/HSA Eligible, 7 Colors Light Mask for Face, Blue &amp; Red Light Face Mask Anti-aging, Korean Professional Technology Led Light Mask for Face and Neck A-021</t>
  </si>
  <si>
    <t>451</t>
  </si>
  <si>
    <t>美12月23日 13:02</t>
  </si>
  <si>
    <t>B0DZKFS7YS</t>
  </si>
  <si>
    <t>hooga Red Light Therapy LED Mask, Tri Chip LEDs, 630nm and 660nm Red, 850nm Near Infrared, Adjustable, Comfortable, USB Type-C Rechargeable for Wellness and Anti-Aging</t>
  </si>
  <si>
    <t>B0GCHY3PJK</t>
  </si>
  <si>
    <t>Red Light Face Mask and Activating Serum</t>
  </si>
  <si>
    <t>B0FP51W3DJ</t>
  </si>
  <si>
    <t>SANATECH LED Light Therapy Mask for Face, 4 Modes LED Face Mask Light Therapy with 850nm Near-Infrared, 400 LEDs, Rechargeable, Portable Anti-Aging Device (Onyx Black)</t>
  </si>
  <si>
    <t>美01月06日 00:04</t>
  </si>
  <si>
    <t>B0F7WKR1DK</t>
  </si>
  <si>
    <t>YKeluxon Face Mask Light Therapy, LED Red Light Therapy for Face, Infrared &amp; Red Light Therapy for Face, 6000mAh Rechargeable Portable Redlight Facial Device for Home Use</t>
  </si>
  <si>
    <t>美01月07日 06:01</t>
  </si>
  <si>
    <t>美01月02日 04:02</t>
  </si>
  <si>
    <t>B0DBL6QF4B</t>
  </si>
  <si>
    <t>ZOVIE LED Light Therapy Mask - Flexible Silicone, Red &amp; Near-Infrared Light for Skin Face Mask, 10 Pound (Pack of 1)</t>
  </si>
  <si>
    <t>美12月30日 03:53</t>
  </si>
  <si>
    <t>美12月29日 18:02</t>
  </si>
  <si>
    <t>B0F63KS989</t>
  </si>
  <si>
    <t>Infrared Red Light Therapy Mask: High Power for Glowing Skin – Ultra-Thin 1.8mm 4.6oz, 830nm 633nm 590nm, Rechargeable, Red light therapy for face Luxury Gift - Pink Windmill</t>
  </si>
  <si>
    <t>P2-46</t>
  </si>
  <si>
    <t>美01月07日 10:01</t>
  </si>
  <si>
    <t>B0FCSFDTFZ</t>
  </si>
  <si>
    <t>Red Light Therapy Mask for Face, 5-Mode Cordless LED Face Mask Light Therapy with Near-Infrared (NIR), Rechargeable and Ergonomic Silicone Design for Home &amp; Travel Use</t>
  </si>
  <si>
    <t>B0G5XVYXH2</t>
  </si>
  <si>
    <t>DPFACE Red Light Mask for Face, Cordless 7-1 Colors Red Light Face Mask, USB-C Rechargeable, Portable for Home &amp; Travel, Beauty Facial Masks for Women Working Yoga Gifts</t>
  </si>
  <si>
    <t>B0D4DRC9WQ</t>
  </si>
  <si>
    <t>SUERBEATY Red Light Mask, 7 Colors Red Light Mask for Face, Cordless &amp; Portable for Home &amp; Travel, Rechargeable, Lightweight, Facial Skin Care for Women - Mom, Sister, Girlfriend and Wife - Black</t>
  </si>
  <si>
    <t>B0DT431JGG</t>
  </si>
  <si>
    <t>1.8</t>
  </si>
  <si>
    <t>美12月30日 13:00</t>
  </si>
  <si>
    <t>B0FSZXZC1D</t>
  </si>
  <si>
    <t>TASNEEM Red Light Therapy for Face, 3D Red Light Therapy Mask with 312 LEDs for Full-face Wrinkles &amp; Acne, 3 Modes with Red &amp; Blue 850nm Near-Infrared Light Therapy Mask, FDA-Cleared, Remote Control</t>
  </si>
  <si>
    <t>自然,SBV,SOR</t>
  </si>
  <si>
    <t>B0F663GW4P</t>
  </si>
  <si>
    <t>Red Light Therapy Mask: 292 LEDs High Energy Professional Infrared Red Light Therapy Device for Face Led Lighting Facial Mask Replace Photon Rejuvenation - Black Bag</t>
  </si>
  <si>
    <t>美01月11日 08:01</t>
  </si>
  <si>
    <t>B0FSC6TX6X</t>
  </si>
  <si>
    <t>Iarha Red Light Therapy for Face - 4 Colors LED Face Mask Light Therapy with Timing Function, LED face Mask Light Therapy at Home 240 LED Beads (White+Silver)</t>
  </si>
  <si>
    <t>B0FG7N86S9</t>
  </si>
  <si>
    <t>Red Light Therapy Mask, 7 Colors Red Light Therapy for Face, Portable Rechargeable LED Face Mask Light Therapy for Reduce Wrinkles, Skincare at Home and Travel, White</t>
  </si>
  <si>
    <t>P3-23</t>
  </si>
  <si>
    <t>B0FRSDNML7</t>
  </si>
  <si>
    <t>LED Light Therapy mask (E106A) Red Light Therapy for Face and Neck, 7 Colors Red Light Therapy Mask, Led Face Mask Light Therapy with 324 LED, 5 Brightness Levels &amp; 20 Mins Timer for Home &amp; Travel</t>
  </si>
  <si>
    <t>美12月26日 08:01</t>
  </si>
  <si>
    <t>B0F8HY86GV</t>
  </si>
  <si>
    <t>LED Light Therapy Mask, 4D LED Face Mask Light Therapy - 4 Modes Face Mask Light Therapy, 850nm Infrared &amp; Red Light Masks, 4000mAh Rechargeable - Light Therapy Skin Care, Home Use</t>
  </si>
  <si>
    <t>B0F8VFQW4T</t>
  </si>
  <si>
    <t>Red Light Therapy Mask for Face, 4 Modes Infrared Light Therapy LED Face Mask with Remote, Portable and Rechargeable with Timer, Ideal for Home Use</t>
  </si>
  <si>
    <t>AC,自然</t>
  </si>
  <si>
    <t>美01月07日 14:00</t>
  </si>
  <si>
    <t>B0FMXZVJD8</t>
  </si>
  <si>
    <t>LED Light Therapy Mask Skin Care Mask, LED Red 630±5nm &amp; NIR 830nm Wavelength for Home Use</t>
  </si>
  <si>
    <t>美01月11日 06:00</t>
  </si>
  <si>
    <t>B0FJS2CK5D</t>
  </si>
  <si>
    <t>LuxRenew BS Red Light Therapy Face Set, LED Mask with 630nm Red Light &amp; 850nm Near-Infrared Light</t>
  </si>
  <si>
    <t>美12月25日 06:03</t>
  </si>
  <si>
    <t>B0FRQKBHHG</t>
  </si>
  <si>
    <t>QuasarMD 3D LED Face Mask with Gold-Wire LEDs, Red &amp; Infrared Light for Wrinkles, Blue Light Mode for Blemish Care, Advanced Light Therapy for Skin Rejuvenation &amp; Radiant Look</t>
  </si>
  <si>
    <t>美01月04日 10:00</t>
  </si>
  <si>
    <t>B0G34CD7PK</t>
  </si>
  <si>
    <t>Anpor Red Light Therapy for Face, Valentines Day Gifts, Wireless Led Face Mask Light Therapy, Rechargeable 2000mAh Red Light Mask with 336 LED Chips, 4 Modes, Timer for Home Skincare (Black)</t>
  </si>
  <si>
    <t>美12月30日 17:03</t>
  </si>
  <si>
    <t>点击西柚找词官网，查看更多小时级亚马逊关键词数据：</t>
  </si>
  <si>
    <t>https://www.xiyouzhaoci.com/?chan=excel</t>
  </si>
  <si>
    <t>安装西柚插件，竞品流量、运营、销量全看透：</t>
  </si>
  <si>
    <t>https://knowledge.xiyouzhaoci.com/extension/</t>
  </si>
  <si>
    <t>更多使用问题，添加运营顾问微信咨询：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</si>
</sst>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Calibri"/>
      <charset val="134"/>
    </font>
    <font>
      <sz val="16"/>
      <color rgb="FF000000"/>
      <name val="微软雅黑"/>
      <charset val="134"/>
    </font>
    <font>
      <u/>
      <sz val="18"/>
      <color rgb="FFFF6A00"/>
      <name val="等线"/>
      <charset val="134"/>
    </font>
    <font>
      <sz val="11"/>
      <color rgb="FFFFFFFF"/>
      <name val="Calibri"/>
      <charset val="134"/>
    </font>
    <font>
      <sz val="11"/>
      <color rgb="FFFFFFFF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hair">
        <color rgb="FFE0E0E0"/>
      </bottom>
      <diagonal/>
    </border>
    <border>
      <left/>
      <right style="thin">
        <color rgb="FFE0E0E0"/>
      </right>
      <top/>
      <bottom style="hair">
        <color rgb="FFE0E0E0"/>
      </bottom>
      <diagonal/>
    </border>
    <border>
      <left/>
      <right/>
      <top/>
      <bottom style="thin">
        <color rgb="FFE0E0E0"/>
      </bottom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right" vertical="center"/>
    </xf>
    <xf numFmtId="0" fontId="0" fillId="2" borderId="4" xfId="0" applyFill="1" applyBorder="1"/>
    <xf numFmtId="0" fontId="3" fillId="3" borderId="0" xfId="0" applyFont="1" applyFill="1"/>
    <xf numFmtId="0" fontId="4" fillId="3" borderId="0" xfId="0" applyFont="1" applyFill="1"/>
    <xf numFmtId="2" fontId="0" fillId="0" borderId="0" xfId="0" applyNumberFormat="1"/>
    <xf numFmtId="1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9" Type="http://schemas.openxmlformats.org/officeDocument/2006/relationships/image" Target="media/image102.jpeg"/><Relationship Id="rId98" Type="http://schemas.openxmlformats.org/officeDocument/2006/relationships/image" Target="media/image101.jpeg"/><Relationship Id="rId97" Type="http://schemas.openxmlformats.org/officeDocument/2006/relationships/image" Target="media/image100.jpeg"/><Relationship Id="rId96" Type="http://schemas.openxmlformats.org/officeDocument/2006/relationships/image" Target="media/image99.jpeg"/><Relationship Id="rId95" Type="http://schemas.openxmlformats.org/officeDocument/2006/relationships/image" Target="media/image98.jpeg"/><Relationship Id="rId94" Type="http://schemas.openxmlformats.org/officeDocument/2006/relationships/image" Target="media/image97.jpeg"/><Relationship Id="rId93" Type="http://schemas.openxmlformats.org/officeDocument/2006/relationships/image" Target="media/image96.jpeg"/><Relationship Id="rId92" Type="http://schemas.openxmlformats.org/officeDocument/2006/relationships/image" Target="media/image95.jpeg"/><Relationship Id="rId91" Type="http://schemas.openxmlformats.org/officeDocument/2006/relationships/image" Target="media/image94.jpeg"/><Relationship Id="rId90" Type="http://schemas.openxmlformats.org/officeDocument/2006/relationships/image" Target="media/image93.jpeg"/><Relationship Id="rId9" Type="http://schemas.openxmlformats.org/officeDocument/2006/relationships/image" Target="media/image12.jpeg"/><Relationship Id="rId89" Type="http://schemas.openxmlformats.org/officeDocument/2006/relationships/image" Target="media/image92.jpeg"/><Relationship Id="rId88" Type="http://schemas.openxmlformats.org/officeDocument/2006/relationships/image" Target="media/image91.jpeg"/><Relationship Id="rId87" Type="http://schemas.openxmlformats.org/officeDocument/2006/relationships/image" Target="media/image90.jpeg"/><Relationship Id="rId86" Type="http://schemas.openxmlformats.org/officeDocument/2006/relationships/image" Target="media/image89.jpeg"/><Relationship Id="rId85" Type="http://schemas.openxmlformats.org/officeDocument/2006/relationships/image" Target="media/image88.jpeg"/><Relationship Id="rId84" Type="http://schemas.openxmlformats.org/officeDocument/2006/relationships/image" Target="media/image87.jpeg"/><Relationship Id="rId83" Type="http://schemas.openxmlformats.org/officeDocument/2006/relationships/image" Target="media/image86.jpeg"/><Relationship Id="rId82" Type="http://schemas.openxmlformats.org/officeDocument/2006/relationships/image" Target="media/image85.jpeg"/><Relationship Id="rId81" Type="http://schemas.openxmlformats.org/officeDocument/2006/relationships/image" Target="media/image84.jpeg"/><Relationship Id="rId80" Type="http://schemas.openxmlformats.org/officeDocument/2006/relationships/image" Target="media/image83.jpeg"/><Relationship Id="rId8" Type="http://schemas.openxmlformats.org/officeDocument/2006/relationships/image" Target="media/image11.jpeg"/><Relationship Id="rId79" Type="http://schemas.openxmlformats.org/officeDocument/2006/relationships/image" Target="media/image82.jpeg"/><Relationship Id="rId78" Type="http://schemas.openxmlformats.org/officeDocument/2006/relationships/image" Target="media/image81.jpeg"/><Relationship Id="rId77" Type="http://schemas.openxmlformats.org/officeDocument/2006/relationships/image" Target="media/image80.jpeg"/><Relationship Id="rId76" Type="http://schemas.openxmlformats.org/officeDocument/2006/relationships/image" Target="media/image79.jpeg"/><Relationship Id="rId75" Type="http://schemas.openxmlformats.org/officeDocument/2006/relationships/image" Target="media/image78.jpeg"/><Relationship Id="rId74" Type="http://schemas.openxmlformats.org/officeDocument/2006/relationships/image" Target="media/image77.jpeg"/><Relationship Id="rId73" Type="http://schemas.openxmlformats.org/officeDocument/2006/relationships/image" Target="media/image76.jpeg"/><Relationship Id="rId72" Type="http://schemas.openxmlformats.org/officeDocument/2006/relationships/image" Target="media/image75.jpeg"/><Relationship Id="rId71" Type="http://schemas.openxmlformats.org/officeDocument/2006/relationships/image" Target="media/image74.jpeg"/><Relationship Id="rId70" Type="http://schemas.openxmlformats.org/officeDocument/2006/relationships/image" Target="media/image73.jpeg"/><Relationship Id="rId7" Type="http://schemas.openxmlformats.org/officeDocument/2006/relationships/image" Target="media/image10.jpeg"/><Relationship Id="rId69" Type="http://schemas.openxmlformats.org/officeDocument/2006/relationships/image" Target="media/image72.jpeg"/><Relationship Id="rId68" Type="http://schemas.openxmlformats.org/officeDocument/2006/relationships/image" Target="media/image71.jpeg"/><Relationship Id="rId67" Type="http://schemas.openxmlformats.org/officeDocument/2006/relationships/image" Target="media/image70.jpeg"/><Relationship Id="rId66" Type="http://schemas.openxmlformats.org/officeDocument/2006/relationships/image" Target="media/image69.jpeg"/><Relationship Id="rId65" Type="http://schemas.openxmlformats.org/officeDocument/2006/relationships/image" Target="media/image68.jpeg"/><Relationship Id="rId64" Type="http://schemas.openxmlformats.org/officeDocument/2006/relationships/image" Target="media/image67.jpeg"/><Relationship Id="rId63" Type="http://schemas.openxmlformats.org/officeDocument/2006/relationships/image" Target="media/image66.jpeg"/><Relationship Id="rId62" Type="http://schemas.openxmlformats.org/officeDocument/2006/relationships/image" Target="media/image65.jpeg"/><Relationship Id="rId61" Type="http://schemas.openxmlformats.org/officeDocument/2006/relationships/image" Target="media/image64.jpeg"/><Relationship Id="rId60" Type="http://schemas.openxmlformats.org/officeDocument/2006/relationships/image" Target="media/image63.jpeg"/><Relationship Id="rId6" Type="http://schemas.openxmlformats.org/officeDocument/2006/relationships/image" Target="media/image9.jpeg"/><Relationship Id="rId59" Type="http://schemas.openxmlformats.org/officeDocument/2006/relationships/image" Target="media/image62.jpeg"/><Relationship Id="rId58" Type="http://schemas.openxmlformats.org/officeDocument/2006/relationships/image" Target="media/image61.jpeg"/><Relationship Id="rId57" Type="http://schemas.openxmlformats.org/officeDocument/2006/relationships/image" Target="media/image60.jpeg"/><Relationship Id="rId56" Type="http://schemas.openxmlformats.org/officeDocument/2006/relationships/image" Target="media/image59.jpeg"/><Relationship Id="rId55" Type="http://schemas.openxmlformats.org/officeDocument/2006/relationships/image" Target="media/image58.jpeg"/><Relationship Id="rId54" Type="http://schemas.openxmlformats.org/officeDocument/2006/relationships/image" Target="media/image57.jpeg"/><Relationship Id="rId53" Type="http://schemas.openxmlformats.org/officeDocument/2006/relationships/image" Target="media/image56.jpeg"/><Relationship Id="rId52" Type="http://schemas.openxmlformats.org/officeDocument/2006/relationships/image" Target="media/image55.jpeg"/><Relationship Id="rId51" Type="http://schemas.openxmlformats.org/officeDocument/2006/relationships/image" Target="media/image54.jpeg"/><Relationship Id="rId50" Type="http://schemas.openxmlformats.org/officeDocument/2006/relationships/image" Target="media/image53.jpeg"/><Relationship Id="rId5" Type="http://schemas.openxmlformats.org/officeDocument/2006/relationships/image" Target="media/image8.jpeg"/><Relationship Id="rId49" Type="http://schemas.openxmlformats.org/officeDocument/2006/relationships/image" Target="media/image52.jpeg"/><Relationship Id="rId48" Type="http://schemas.openxmlformats.org/officeDocument/2006/relationships/image" Target="media/image51.jpeg"/><Relationship Id="rId47" Type="http://schemas.openxmlformats.org/officeDocument/2006/relationships/image" Target="media/image50.jpeg"/><Relationship Id="rId46" Type="http://schemas.openxmlformats.org/officeDocument/2006/relationships/image" Target="media/image49.jpeg"/><Relationship Id="rId45" Type="http://schemas.openxmlformats.org/officeDocument/2006/relationships/image" Target="media/image48.jpeg"/><Relationship Id="rId44" Type="http://schemas.openxmlformats.org/officeDocument/2006/relationships/image" Target="media/image47.jpeg"/><Relationship Id="rId43" Type="http://schemas.openxmlformats.org/officeDocument/2006/relationships/image" Target="media/image46.jpeg"/><Relationship Id="rId42" Type="http://schemas.openxmlformats.org/officeDocument/2006/relationships/image" Target="media/image45.jpeg"/><Relationship Id="rId41" Type="http://schemas.openxmlformats.org/officeDocument/2006/relationships/image" Target="media/image44.jpeg"/><Relationship Id="rId40" Type="http://schemas.openxmlformats.org/officeDocument/2006/relationships/image" Target="media/image43.jpeg"/><Relationship Id="rId4" Type="http://schemas.openxmlformats.org/officeDocument/2006/relationships/image" Target="media/image7.jpeg"/><Relationship Id="rId39" Type="http://schemas.openxmlformats.org/officeDocument/2006/relationships/image" Target="media/image42.jpeg"/><Relationship Id="rId38" Type="http://schemas.openxmlformats.org/officeDocument/2006/relationships/image" Target="media/image41.jpeg"/><Relationship Id="rId37" Type="http://schemas.openxmlformats.org/officeDocument/2006/relationships/image" Target="media/image40.jpeg"/><Relationship Id="rId36" Type="http://schemas.openxmlformats.org/officeDocument/2006/relationships/image" Target="media/image39.jpeg"/><Relationship Id="rId35" Type="http://schemas.openxmlformats.org/officeDocument/2006/relationships/image" Target="media/image38.jpeg"/><Relationship Id="rId34" Type="http://schemas.openxmlformats.org/officeDocument/2006/relationships/image" Target="media/image37.jpeg"/><Relationship Id="rId33" Type="http://schemas.openxmlformats.org/officeDocument/2006/relationships/image" Target="media/image36.jpeg"/><Relationship Id="rId32" Type="http://schemas.openxmlformats.org/officeDocument/2006/relationships/image" Target="media/image35.jpeg"/><Relationship Id="rId313" Type="http://schemas.openxmlformats.org/officeDocument/2006/relationships/image" Target="media/image316.jpeg"/><Relationship Id="rId312" Type="http://schemas.openxmlformats.org/officeDocument/2006/relationships/image" Target="media/image315.jpeg"/><Relationship Id="rId311" Type="http://schemas.openxmlformats.org/officeDocument/2006/relationships/image" Target="media/image314.jpeg"/><Relationship Id="rId310" Type="http://schemas.openxmlformats.org/officeDocument/2006/relationships/image" Target="media/image313.jpeg"/><Relationship Id="rId31" Type="http://schemas.openxmlformats.org/officeDocument/2006/relationships/image" Target="media/image34.jpeg"/><Relationship Id="rId309" Type="http://schemas.openxmlformats.org/officeDocument/2006/relationships/image" Target="media/image312.jpeg"/><Relationship Id="rId308" Type="http://schemas.openxmlformats.org/officeDocument/2006/relationships/image" Target="media/image311.jpeg"/><Relationship Id="rId307" Type="http://schemas.openxmlformats.org/officeDocument/2006/relationships/image" Target="media/image310.jpeg"/><Relationship Id="rId306" Type="http://schemas.openxmlformats.org/officeDocument/2006/relationships/image" Target="media/image309.jpeg"/><Relationship Id="rId305" Type="http://schemas.openxmlformats.org/officeDocument/2006/relationships/image" Target="media/image308.jpeg"/><Relationship Id="rId304" Type="http://schemas.openxmlformats.org/officeDocument/2006/relationships/image" Target="media/image307.jpeg"/><Relationship Id="rId303" Type="http://schemas.openxmlformats.org/officeDocument/2006/relationships/image" Target="media/image306.jpeg"/><Relationship Id="rId302" Type="http://schemas.openxmlformats.org/officeDocument/2006/relationships/image" Target="media/image305.jpeg"/><Relationship Id="rId301" Type="http://schemas.openxmlformats.org/officeDocument/2006/relationships/image" Target="media/image304.jpeg"/><Relationship Id="rId300" Type="http://schemas.openxmlformats.org/officeDocument/2006/relationships/image" Target="media/image303.jpeg"/><Relationship Id="rId30" Type="http://schemas.openxmlformats.org/officeDocument/2006/relationships/image" Target="media/image33.jpeg"/><Relationship Id="rId3" Type="http://schemas.openxmlformats.org/officeDocument/2006/relationships/image" Target="media/image6.jpeg"/><Relationship Id="rId299" Type="http://schemas.openxmlformats.org/officeDocument/2006/relationships/image" Target="media/image302.jpeg"/><Relationship Id="rId298" Type="http://schemas.openxmlformats.org/officeDocument/2006/relationships/image" Target="media/image301.jpeg"/><Relationship Id="rId297" Type="http://schemas.openxmlformats.org/officeDocument/2006/relationships/image" Target="media/image300.jpeg"/><Relationship Id="rId296" Type="http://schemas.openxmlformats.org/officeDocument/2006/relationships/image" Target="media/image299.jpeg"/><Relationship Id="rId295" Type="http://schemas.openxmlformats.org/officeDocument/2006/relationships/image" Target="media/image298.jpeg"/><Relationship Id="rId294" Type="http://schemas.openxmlformats.org/officeDocument/2006/relationships/image" Target="media/image297.jpeg"/><Relationship Id="rId293" Type="http://schemas.openxmlformats.org/officeDocument/2006/relationships/image" Target="media/image296.jpeg"/><Relationship Id="rId292" Type="http://schemas.openxmlformats.org/officeDocument/2006/relationships/image" Target="media/image295.jpeg"/><Relationship Id="rId291" Type="http://schemas.openxmlformats.org/officeDocument/2006/relationships/image" Target="media/image294.jpeg"/><Relationship Id="rId290" Type="http://schemas.openxmlformats.org/officeDocument/2006/relationships/image" Target="media/image293.jpeg"/><Relationship Id="rId29" Type="http://schemas.openxmlformats.org/officeDocument/2006/relationships/image" Target="media/image32.jpeg"/><Relationship Id="rId289" Type="http://schemas.openxmlformats.org/officeDocument/2006/relationships/image" Target="media/image292.jpeg"/><Relationship Id="rId288" Type="http://schemas.openxmlformats.org/officeDocument/2006/relationships/image" Target="media/image291.jpeg"/><Relationship Id="rId287" Type="http://schemas.openxmlformats.org/officeDocument/2006/relationships/image" Target="media/image290.jpeg"/><Relationship Id="rId286" Type="http://schemas.openxmlformats.org/officeDocument/2006/relationships/image" Target="media/image289.jpeg"/><Relationship Id="rId285" Type="http://schemas.openxmlformats.org/officeDocument/2006/relationships/image" Target="media/image288.jpeg"/><Relationship Id="rId284" Type="http://schemas.openxmlformats.org/officeDocument/2006/relationships/image" Target="media/image287.jpeg"/><Relationship Id="rId283" Type="http://schemas.openxmlformats.org/officeDocument/2006/relationships/image" Target="media/image286.jpeg"/><Relationship Id="rId282" Type="http://schemas.openxmlformats.org/officeDocument/2006/relationships/image" Target="media/image285.jpeg"/><Relationship Id="rId281" Type="http://schemas.openxmlformats.org/officeDocument/2006/relationships/image" Target="media/image284.jpeg"/><Relationship Id="rId280" Type="http://schemas.openxmlformats.org/officeDocument/2006/relationships/image" Target="media/image283.jpeg"/><Relationship Id="rId28" Type="http://schemas.openxmlformats.org/officeDocument/2006/relationships/image" Target="media/image31.jpeg"/><Relationship Id="rId279" Type="http://schemas.openxmlformats.org/officeDocument/2006/relationships/image" Target="media/image282.jpeg"/><Relationship Id="rId278" Type="http://schemas.openxmlformats.org/officeDocument/2006/relationships/image" Target="media/image281.jpeg"/><Relationship Id="rId277" Type="http://schemas.openxmlformats.org/officeDocument/2006/relationships/image" Target="media/image280.jpeg"/><Relationship Id="rId276" Type="http://schemas.openxmlformats.org/officeDocument/2006/relationships/image" Target="media/image279.jpeg"/><Relationship Id="rId275" Type="http://schemas.openxmlformats.org/officeDocument/2006/relationships/image" Target="media/image278.jpeg"/><Relationship Id="rId274" Type="http://schemas.openxmlformats.org/officeDocument/2006/relationships/image" Target="media/image277.jpeg"/><Relationship Id="rId273" Type="http://schemas.openxmlformats.org/officeDocument/2006/relationships/image" Target="media/image276.jpeg"/><Relationship Id="rId272" Type="http://schemas.openxmlformats.org/officeDocument/2006/relationships/image" Target="media/image275.jpeg"/><Relationship Id="rId271" Type="http://schemas.openxmlformats.org/officeDocument/2006/relationships/image" Target="media/image274.jpeg"/><Relationship Id="rId270" Type="http://schemas.openxmlformats.org/officeDocument/2006/relationships/image" Target="media/image273.jpeg"/><Relationship Id="rId27" Type="http://schemas.openxmlformats.org/officeDocument/2006/relationships/image" Target="media/image30.jpeg"/><Relationship Id="rId269" Type="http://schemas.openxmlformats.org/officeDocument/2006/relationships/image" Target="media/image272.jpeg"/><Relationship Id="rId268" Type="http://schemas.openxmlformats.org/officeDocument/2006/relationships/image" Target="media/image271.jpeg"/><Relationship Id="rId267" Type="http://schemas.openxmlformats.org/officeDocument/2006/relationships/image" Target="media/image270.jpeg"/><Relationship Id="rId266" Type="http://schemas.openxmlformats.org/officeDocument/2006/relationships/image" Target="media/image269.jpeg"/><Relationship Id="rId265" Type="http://schemas.openxmlformats.org/officeDocument/2006/relationships/image" Target="media/image268.jpeg"/><Relationship Id="rId264" Type="http://schemas.openxmlformats.org/officeDocument/2006/relationships/image" Target="media/image267.jpeg"/><Relationship Id="rId263" Type="http://schemas.openxmlformats.org/officeDocument/2006/relationships/image" Target="media/image266.jpeg"/><Relationship Id="rId262" Type="http://schemas.openxmlformats.org/officeDocument/2006/relationships/image" Target="media/image265.jpeg"/><Relationship Id="rId261" Type="http://schemas.openxmlformats.org/officeDocument/2006/relationships/image" Target="media/image264.jpeg"/><Relationship Id="rId260" Type="http://schemas.openxmlformats.org/officeDocument/2006/relationships/image" Target="media/image263.jpeg"/><Relationship Id="rId26" Type="http://schemas.openxmlformats.org/officeDocument/2006/relationships/image" Target="media/image29.jpeg"/><Relationship Id="rId259" Type="http://schemas.openxmlformats.org/officeDocument/2006/relationships/image" Target="media/image262.jpeg"/><Relationship Id="rId258" Type="http://schemas.openxmlformats.org/officeDocument/2006/relationships/image" Target="media/image261.jpeg"/><Relationship Id="rId257" Type="http://schemas.openxmlformats.org/officeDocument/2006/relationships/image" Target="media/image260.jpeg"/><Relationship Id="rId256" Type="http://schemas.openxmlformats.org/officeDocument/2006/relationships/image" Target="media/image259.jpeg"/><Relationship Id="rId255" Type="http://schemas.openxmlformats.org/officeDocument/2006/relationships/image" Target="media/image258.jpeg"/><Relationship Id="rId254" Type="http://schemas.openxmlformats.org/officeDocument/2006/relationships/image" Target="media/image257.jpeg"/><Relationship Id="rId253" Type="http://schemas.openxmlformats.org/officeDocument/2006/relationships/image" Target="media/image256.jpeg"/><Relationship Id="rId252" Type="http://schemas.openxmlformats.org/officeDocument/2006/relationships/image" Target="media/image255.jpeg"/><Relationship Id="rId251" Type="http://schemas.openxmlformats.org/officeDocument/2006/relationships/image" Target="media/image254.jpeg"/><Relationship Id="rId250" Type="http://schemas.openxmlformats.org/officeDocument/2006/relationships/image" Target="media/image253.jpeg"/><Relationship Id="rId25" Type="http://schemas.openxmlformats.org/officeDocument/2006/relationships/image" Target="media/image28.jpeg"/><Relationship Id="rId249" Type="http://schemas.openxmlformats.org/officeDocument/2006/relationships/image" Target="media/image252.jpeg"/><Relationship Id="rId248" Type="http://schemas.openxmlformats.org/officeDocument/2006/relationships/image" Target="media/image251.jpeg"/><Relationship Id="rId247" Type="http://schemas.openxmlformats.org/officeDocument/2006/relationships/image" Target="media/image250.jpeg"/><Relationship Id="rId246" Type="http://schemas.openxmlformats.org/officeDocument/2006/relationships/image" Target="media/image249.jpeg"/><Relationship Id="rId245" Type="http://schemas.openxmlformats.org/officeDocument/2006/relationships/image" Target="media/image248.jpeg"/><Relationship Id="rId244" Type="http://schemas.openxmlformats.org/officeDocument/2006/relationships/image" Target="media/image247.jpeg"/><Relationship Id="rId243" Type="http://schemas.openxmlformats.org/officeDocument/2006/relationships/image" Target="media/image246.jpeg"/><Relationship Id="rId242" Type="http://schemas.openxmlformats.org/officeDocument/2006/relationships/image" Target="media/image245.jpeg"/><Relationship Id="rId241" Type="http://schemas.openxmlformats.org/officeDocument/2006/relationships/image" Target="media/image244.jpeg"/><Relationship Id="rId240" Type="http://schemas.openxmlformats.org/officeDocument/2006/relationships/image" Target="media/image243.jpeg"/><Relationship Id="rId24" Type="http://schemas.openxmlformats.org/officeDocument/2006/relationships/image" Target="media/image27.jpeg"/><Relationship Id="rId239" Type="http://schemas.openxmlformats.org/officeDocument/2006/relationships/image" Target="media/image242.jpeg"/><Relationship Id="rId238" Type="http://schemas.openxmlformats.org/officeDocument/2006/relationships/image" Target="media/image241.jpeg"/><Relationship Id="rId237" Type="http://schemas.openxmlformats.org/officeDocument/2006/relationships/image" Target="media/image240.jpeg"/><Relationship Id="rId236" Type="http://schemas.openxmlformats.org/officeDocument/2006/relationships/image" Target="media/image239.jpeg"/><Relationship Id="rId235" Type="http://schemas.openxmlformats.org/officeDocument/2006/relationships/image" Target="media/image238.jpeg"/><Relationship Id="rId234" Type="http://schemas.openxmlformats.org/officeDocument/2006/relationships/image" Target="media/image237.jpeg"/><Relationship Id="rId233" Type="http://schemas.openxmlformats.org/officeDocument/2006/relationships/image" Target="media/image236.jpeg"/><Relationship Id="rId232" Type="http://schemas.openxmlformats.org/officeDocument/2006/relationships/image" Target="media/image235.jpeg"/><Relationship Id="rId231" Type="http://schemas.openxmlformats.org/officeDocument/2006/relationships/image" Target="media/image234.jpeg"/><Relationship Id="rId230" Type="http://schemas.openxmlformats.org/officeDocument/2006/relationships/image" Target="media/image233.jpeg"/><Relationship Id="rId23" Type="http://schemas.openxmlformats.org/officeDocument/2006/relationships/image" Target="media/image26.jpeg"/><Relationship Id="rId229" Type="http://schemas.openxmlformats.org/officeDocument/2006/relationships/image" Target="media/image232.jpeg"/><Relationship Id="rId228" Type="http://schemas.openxmlformats.org/officeDocument/2006/relationships/image" Target="media/image231.jpeg"/><Relationship Id="rId227" Type="http://schemas.openxmlformats.org/officeDocument/2006/relationships/image" Target="media/image230.jpeg"/><Relationship Id="rId226" Type="http://schemas.openxmlformats.org/officeDocument/2006/relationships/image" Target="media/image229.jpeg"/><Relationship Id="rId225" Type="http://schemas.openxmlformats.org/officeDocument/2006/relationships/image" Target="media/image228.jpeg"/><Relationship Id="rId224" Type="http://schemas.openxmlformats.org/officeDocument/2006/relationships/image" Target="media/image227.jpeg"/><Relationship Id="rId223" Type="http://schemas.openxmlformats.org/officeDocument/2006/relationships/image" Target="media/image226.jpeg"/><Relationship Id="rId222" Type="http://schemas.openxmlformats.org/officeDocument/2006/relationships/image" Target="media/image225.jpeg"/><Relationship Id="rId221" Type="http://schemas.openxmlformats.org/officeDocument/2006/relationships/image" Target="media/image224.jpeg"/><Relationship Id="rId220" Type="http://schemas.openxmlformats.org/officeDocument/2006/relationships/image" Target="media/image223.jpeg"/><Relationship Id="rId22" Type="http://schemas.openxmlformats.org/officeDocument/2006/relationships/image" Target="media/image25.jpeg"/><Relationship Id="rId219" Type="http://schemas.openxmlformats.org/officeDocument/2006/relationships/image" Target="media/image222.jpeg"/><Relationship Id="rId218" Type="http://schemas.openxmlformats.org/officeDocument/2006/relationships/image" Target="media/image221.jpeg"/><Relationship Id="rId217" Type="http://schemas.openxmlformats.org/officeDocument/2006/relationships/image" Target="media/image220.jpeg"/><Relationship Id="rId216" Type="http://schemas.openxmlformats.org/officeDocument/2006/relationships/image" Target="media/image219.jpeg"/><Relationship Id="rId215" Type="http://schemas.openxmlformats.org/officeDocument/2006/relationships/image" Target="media/image218.jpeg"/><Relationship Id="rId214" Type="http://schemas.openxmlformats.org/officeDocument/2006/relationships/image" Target="media/image217.jpeg"/><Relationship Id="rId213" Type="http://schemas.openxmlformats.org/officeDocument/2006/relationships/image" Target="media/image216.jpeg"/><Relationship Id="rId212" Type="http://schemas.openxmlformats.org/officeDocument/2006/relationships/image" Target="media/image215.jpeg"/><Relationship Id="rId211" Type="http://schemas.openxmlformats.org/officeDocument/2006/relationships/image" Target="media/image214.jpeg"/><Relationship Id="rId210" Type="http://schemas.openxmlformats.org/officeDocument/2006/relationships/image" Target="media/image213.jpeg"/><Relationship Id="rId21" Type="http://schemas.openxmlformats.org/officeDocument/2006/relationships/image" Target="media/image24.jpeg"/><Relationship Id="rId209" Type="http://schemas.openxmlformats.org/officeDocument/2006/relationships/image" Target="media/image212.jpeg"/><Relationship Id="rId208" Type="http://schemas.openxmlformats.org/officeDocument/2006/relationships/image" Target="media/image211.jpeg"/><Relationship Id="rId207" Type="http://schemas.openxmlformats.org/officeDocument/2006/relationships/image" Target="media/image210.jpeg"/><Relationship Id="rId206" Type="http://schemas.openxmlformats.org/officeDocument/2006/relationships/image" Target="media/image209.jpeg"/><Relationship Id="rId205" Type="http://schemas.openxmlformats.org/officeDocument/2006/relationships/image" Target="media/image208.jpeg"/><Relationship Id="rId204" Type="http://schemas.openxmlformats.org/officeDocument/2006/relationships/image" Target="media/image207.jpeg"/><Relationship Id="rId203" Type="http://schemas.openxmlformats.org/officeDocument/2006/relationships/image" Target="media/image206.jpeg"/><Relationship Id="rId202" Type="http://schemas.openxmlformats.org/officeDocument/2006/relationships/image" Target="media/image205.jpeg"/><Relationship Id="rId201" Type="http://schemas.openxmlformats.org/officeDocument/2006/relationships/image" Target="media/image204.jpeg"/><Relationship Id="rId200" Type="http://schemas.openxmlformats.org/officeDocument/2006/relationships/image" Target="media/image203.jpeg"/><Relationship Id="rId20" Type="http://schemas.openxmlformats.org/officeDocument/2006/relationships/image" Target="media/image23.jpeg"/><Relationship Id="rId2" Type="http://schemas.openxmlformats.org/officeDocument/2006/relationships/image" Target="media/image5.jpeg"/><Relationship Id="rId199" Type="http://schemas.openxmlformats.org/officeDocument/2006/relationships/image" Target="media/image202.jpeg"/><Relationship Id="rId198" Type="http://schemas.openxmlformats.org/officeDocument/2006/relationships/image" Target="media/image201.jpeg"/><Relationship Id="rId197" Type="http://schemas.openxmlformats.org/officeDocument/2006/relationships/image" Target="media/image200.jpeg"/><Relationship Id="rId196" Type="http://schemas.openxmlformats.org/officeDocument/2006/relationships/image" Target="media/image199.jpeg"/><Relationship Id="rId195" Type="http://schemas.openxmlformats.org/officeDocument/2006/relationships/image" Target="media/image198.jpeg"/><Relationship Id="rId194" Type="http://schemas.openxmlformats.org/officeDocument/2006/relationships/image" Target="media/image197.jpeg"/><Relationship Id="rId193" Type="http://schemas.openxmlformats.org/officeDocument/2006/relationships/image" Target="media/image196.jpeg"/><Relationship Id="rId192" Type="http://schemas.openxmlformats.org/officeDocument/2006/relationships/image" Target="media/image195.jpeg"/><Relationship Id="rId191" Type="http://schemas.openxmlformats.org/officeDocument/2006/relationships/image" Target="media/image194.jpeg"/><Relationship Id="rId190" Type="http://schemas.openxmlformats.org/officeDocument/2006/relationships/image" Target="media/image193.jpeg"/><Relationship Id="rId19" Type="http://schemas.openxmlformats.org/officeDocument/2006/relationships/image" Target="media/image22.jpeg"/><Relationship Id="rId189" Type="http://schemas.openxmlformats.org/officeDocument/2006/relationships/image" Target="media/image192.jpeg"/><Relationship Id="rId188" Type="http://schemas.openxmlformats.org/officeDocument/2006/relationships/image" Target="media/image191.jpeg"/><Relationship Id="rId187" Type="http://schemas.openxmlformats.org/officeDocument/2006/relationships/image" Target="media/image190.jpeg"/><Relationship Id="rId186" Type="http://schemas.openxmlformats.org/officeDocument/2006/relationships/image" Target="media/image189.jpeg"/><Relationship Id="rId185" Type="http://schemas.openxmlformats.org/officeDocument/2006/relationships/image" Target="media/image188.jpeg"/><Relationship Id="rId184" Type="http://schemas.openxmlformats.org/officeDocument/2006/relationships/image" Target="media/image187.jpeg"/><Relationship Id="rId183" Type="http://schemas.openxmlformats.org/officeDocument/2006/relationships/image" Target="media/image186.jpeg"/><Relationship Id="rId182" Type="http://schemas.openxmlformats.org/officeDocument/2006/relationships/image" Target="media/image185.jpeg"/><Relationship Id="rId181" Type="http://schemas.openxmlformats.org/officeDocument/2006/relationships/image" Target="media/image184.jpeg"/><Relationship Id="rId180" Type="http://schemas.openxmlformats.org/officeDocument/2006/relationships/image" Target="media/image183.jpeg"/><Relationship Id="rId18" Type="http://schemas.openxmlformats.org/officeDocument/2006/relationships/image" Target="media/image21.jpeg"/><Relationship Id="rId179" Type="http://schemas.openxmlformats.org/officeDocument/2006/relationships/image" Target="media/image182.jpeg"/><Relationship Id="rId178" Type="http://schemas.openxmlformats.org/officeDocument/2006/relationships/image" Target="media/image181.jpeg"/><Relationship Id="rId177" Type="http://schemas.openxmlformats.org/officeDocument/2006/relationships/image" Target="media/image180.jpeg"/><Relationship Id="rId176" Type="http://schemas.openxmlformats.org/officeDocument/2006/relationships/image" Target="media/image179.jpeg"/><Relationship Id="rId175" Type="http://schemas.openxmlformats.org/officeDocument/2006/relationships/image" Target="media/image178.jpeg"/><Relationship Id="rId174" Type="http://schemas.openxmlformats.org/officeDocument/2006/relationships/image" Target="media/image177.jpeg"/><Relationship Id="rId173" Type="http://schemas.openxmlformats.org/officeDocument/2006/relationships/image" Target="media/image176.jpeg"/><Relationship Id="rId172" Type="http://schemas.openxmlformats.org/officeDocument/2006/relationships/image" Target="media/image175.jpeg"/><Relationship Id="rId171" Type="http://schemas.openxmlformats.org/officeDocument/2006/relationships/image" Target="media/image174.jpeg"/><Relationship Id="rId170" Type="http://schemas.openxmlformats.org/officeDocument/2006/relationships/image" Target="media/image173.jpeg"/><Relationship Id="rId17" Type="http://schemas.openxmlformats.org/officeDocument/2006/relationships/image" Target="media/image20.jpeg"/><Relationship Id="rId169" Type="http://schemas.openxmlformats.org/officeDocument/2006/relationships/image" Target="media/image172.jpeg"/><Relationship Id="rId168" Type="http://schemas.openxmlformats.org/officeDocument/2006/relationships/image" Target="media/image171.jpeg"/><Relationship Id="rId167" Type="http://schemas.openxmlformats.org/officeDocument/2006/relationships/image" Target="media/image170.jpeg"/><Relationship Id="rId166" Type="http://schemas.openxmlformats.org/officeDocument/2006/relationships/image" Target="media/image169.jpeg"/><Relationship Id="rId165" Type="http://schemas.openxmlformats.org/officeDocument/2006/relationships/image" Target="media/image168.jpeg"/><Relationship Id="rId164" Type="http://schemas.openxmlformats.org/officeDocument/2006/relationships/image" Target="media/image167.jpeg"/><Relationship Id="rId163" Type="http://schemas.openxmlformats.org/officeDocument/2006/relationships/image" Target="media/image166.jpeg"/><Relationship Id="rId162" Type="http://schemas.openxmlformats.org/officeDocument/2006/relationships/image" Target="media/image165.jpeg"/><Relationship Id="rId161" Type="http://schemas.openxmlformats.org/officeDocument/2006/relationships/image" Target="media/image164.jpeg"/><Relationship Id="rId160" Type="http://schemas.openxmlformats.org/officeDocument/2006/relationships/image" Target="media/image163.jpeg"/><Relationship Id="rId16" Type="http://schemas.openxmlformats.org/officeDocument/2006/relationships/image" Target="media/image19.jpeg"/><Relationship Id="rId159" Type="http://schemas.openxmlformats.org/officeDocument/2006/relationships/image" Target="media/image162.jpeg"/><Relationship Id="rId158" Type="http://schemas.openxmlformats.org/officeDocument/2006/relationships/image" Target="media/image161.jpeg"/><Relationship Id="rId157" Type="http://schemas.openxmlformats.org/officeDocument/2006/relationships/image" Target="media/image160.jpeg"/><Relationship Id="rId156" Type="http://schemas.openxmlformats.org/officeDocument/2006/relationships/image" Target="media/image159.jpeg"/><Relationship Id="rId155" Type="http://schemas.openxmlformats.org/officeDocument/2006/relationships/image" Target="media/image158.jpeg"/><Relationship Id="rId154" Type="http://schemas.openxmlformats.org/officeDocument/2006/relationships/image" Target="media/image157.jpeg"/><Relationship Id="rId153" Type="http://schemas.openxmlformats.org/officeDocument/2006/relationships/image" Target="media/image156.jpeg"/><Relationship Id="rId152" Type="http://schemas.openxmlformats.org/officeDocument/2006/relationships/image" Target="media/image155.jpeg"/><Relationship Id="rId151" Type="http://schemas.openxmlformats.org/officeDocument/2006/relationships/image" Target="media/image154.jpeg"/><Relationship Id="rId150" Type="http://schemas.openxmlformats.org/officeDocument/2006/relationships/image" Target="media/image153.jpeg"/><Relationship Id="rId15" Type="http://schemas.openxmlformats.org/officeDocument/2006/relationships/image" Target="media/image18.jpeg"/><Relationship Id="rId149" Type="http://schemas.openxmlformats.org/officeDocument/2006/relationships/image" Target="media/image152.jpeg"/><Relationship Id="rId148" Type="http://schemas.openxmlformats.org/officeDocument/2006/relationships/image" Target="media/image151.jpeg"/><Relationship Id="rId147" Type="http://schemas.openxmlformats.org/officeDocument/2006/relationships/image" Target="media/image150.jpeg"/><Relationship Id="rId146" Type="http://schemas.openxmlformats.org/officeDocument/2006/relationships/image" Target="media/image149.jpeg"/><Relationship Id="rId145" Type="http://schemas.openxmlformats.org/officeDocument/2006/relationships/image" Target="media/image148.jpeg"/><Relationship Id="rId144" Type="http://schemas.openxmlformats.org/officeDocument/2006/relationships/image" Target="media/image147.jpeg"/><Relationship Id="rId143" Type="http://schemas.openxmlformats.org/officeDocument/2006/relationships/image" Target="media/image146.jpeg"/><Relationship Id="rId142" Type="http://schemas.openxmlformats.org/officeDocument/2006/relationships/image" Target="media/image145.jpeg"/><Relationship Id="rId141" Type="http://schemas.openxmlformats.org/officeDocument/2006/relationships/image" Target="media/image144.jpeg"/><Relationship Id="rId140" Type="http://schemas.openxmlformats.org/officeDocument/2006/relationships/image" Target="media/image143.jpeg"/><Relationship Id="rId14" Type="http://schemas.openxmlformats.org/officeDocument/2006/relationships/image" Target="media/image17.jpeg"/><Relationship Id="rId139" Type="http://schemas.openxmlformats.org/officeDocument/2006/relationships/image" Target="media/image142.jpeg"/><Relationship Id="rId138" Type="http://schemas.openxmlformats.org/officeDocument/2006/relationships/image" Target="media/image141.jpeg"/><Relationship Id="rId137" Type="http://schemas.openxmlformats.org/officeDocument/2006/relationships/image" Target="media/image140.jpeg"/><Relationship Id="rId136" Type="http://schemas.openxmlformats.org/officeDocument/2006/relationships/image" Target="media/image139.jpeg"/><Relationship Id="rId135" Type="http://schemas.openxmlformats.org/officeDocument/2006/relationships/image" Target="media/image138.jpeg"/><Relationship Id="rId134" Type="http://schemas.openxmlformats.org/officeDocument/2006/relationships/image" Target="media/image137.jpeg"/><Relationship Id="rId133" Type="http://schemas.openxmlformats.org/officeDocument/2006/relationships/image" Target="media/image136.jpeg"/><Relationship Id="rId132" Type="http://schemas.openxmlformats.org/officeDocument/2006/relationships/image" Target="media/image135.jpeg"/><Relationship Id="rId131" Type="http://schemas.openxmlformats.org/officeDocument/2006/relationships/image" Target="media/image134.jpeg"/><Relationship Id="rId130" Type="http://schemas.openxmlformats.org/officeDocument/2006/relationships/image" Target="media/image133.jpeg"/><Relationship Id="rId13" Type="http://schemas.openxmlformats.org/officeDocument/2006/relationships/image" Target="media/image16.jpeg"/><Relationship Id="rId129" Type="http://schemas.openxmlformats.org/officeDocument/2006/relationships/image" Target="media/image132.jpeg"/><Relationship Id="rId128" Type="http://schemas.openxmlformats.org/officeDocument/2006/relationships/image" Target="media/image131.jpeg"/><Relationship Id="rId127" Type="http://schemas.openxmlformats.org/officeDocument/2006/relationships/image" Target="media/image130.jpeg"/><Relationship Id="rId126" Type="http://schemas.openxmlformats.org/officeDocument/2006/relationships/image" Target="media/image129.jpeg"/><Relationship Id="rId125" Type="http://schemas.openxmlformats.org/officeDocument/2006/relationships/image" Target="media/image128.jpeg"/><Relationship Id="rId124" Type="http://schemas.openxmlformats.org/officeDocument/2006/relationships/image" Target="media/image127.jpeg"/><Relationship Id="rId123" Type="http://schemas.openxmlformats.org/officeDocument/2006/relationships/image" Target="media/image126.jpeg"/><Relationship Id="rId122" Type="http://schemas.openxmlformats.org/officeDocument/2006/relationships/image" Target="media/image125.jpeg"/><Relationship Id="rId121" Type="http://schemas.openxmlformats.org/officeDocument/2006/relationships/image" Target="media/image124.jpeg"/><Relationship Id="rId120" Type="http://schemas.openxmlformats.org/officeDocument/2006/relationships/image" Target="media/image123.jpeg"/><Relationship Id="rId12" Type="http://schemas.openxmlformats.org/officeDocument/2006/relationships/image" Target="media/image15.jpeg"/><Relationship Id="rId119" Type="http://schemas.openxmlformats.org/officeDocument/2006/relationships/image" Target="media/image122.jpeg"/><Relationship Id="rId118" Type="http://schemas.openxmlformats.org/officeDocument/2006/relationships/image" Target="media/image121.jpeg"/><Relationship Id="rId117" Type="http://schemas.openxmlformats.org/officeDocument/2006/relationships/image" Target="media/image120.jpeg"/><Relationship Id="rId116" Type="http://schemas.openxmlformats.org/officeDocument/2006/relationships/image" Target="media/image119.jpeg"/><Relationship Id="rId115" Type="http://schemas.openxmlformats.org/officeDocument/2006/relationships/image" Target="media/image118.jpeg"/><Relationship Id="rId114" Type="http://schemas.openxmlformats.org/officeDocument/2006/relationships/image" Target="media/image117.jpeg"/><Relationship Id="rId113" Type="http://schemas.openxmlformats.org/officeDocument/2006/relationships/image" Target="media/image116.jpeg"/><Relationship Id="rId112" Type="http://schemas.openxmlformats.org/officeDocument/2006/relationships/image" Target="media/image115.jpeg"/><Relationship Id="rId111" Type="http://schemas.openxmlformats.org/officeDocument/2006/relationships/image" Target="media/image114.jpeg"/><Relationship Id="rId110" Type="http://schemas.openxmlformats.org/officeDocument/2006/relationships/image" Target="media/image113.jpeg"/><Relationship Id="rId11" Type="http://schemas.openxmlformats.org/officeDocument/2006/relationships/image" Target="media/image14.jpeg"/><Relationship Id="rId109" Type="http://schemas.openxmlformats.org/officeDocument/2006/relationships/image" Target="media/image112.jpeg"/><Relationship Id="rId108" Type="http://schemas.openxmlformats.org/officeDocument/2006/relationships/image" Target="media/image111.jpeg"/><Relationship Id="rId107" Type="http://schemas.openxmlformats.org/officeDocument/2006/relationships/image" Target="media/image110.jpeg"/><Relationship Id="rId106" Type="http://schemas.openxmlformats.org/officeDocument/2006/relationships/image" Target="media/image109.jpeg"/><Relationship Id="rId105" Type="http://schemas.openxmlformats.org/officeDocument/2006/relationships/image" Target="media/image108.jpeg"/><Relationship Id="rId104" Type="http://schemas.openxmlformats.org/officeDocument/2006/relationships/image" Target="media/image107.jpeg"/><Relationship Id="rId103" Type="http://schemas.openxmlformats.org/officeDocument/2006/relationships/image" Target="media/image106.jpeg"/><Relationship Id="rId102" Type="http://schemas.openxmlformats.org/officeDocument/2006/relationships/image" Target="media/image105.jpeg"/><Relationship Id="rId101" Type="http://schemas.openxmlformats.org/officeDocument/2006/relationships/image" Target="media/image104.jpeg"/><Relationship Id="rId100" Type="http://schemas.openxmlformats.org/officeDocument/2006/relationships/image" Target="media/image103.jpeg"/><Relationship Id="rId10" Type="http://schemas.openxmlformats.org/officeDocument/2006/relationships/image" Target="media/image13.jpeg"/><Relationship Id="rId1" Type="http://schemas.openxmlformats.org/officeDocument/2006/relationships/image" Target="media/image4.jpe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9525</xdr:colOff>
      <xdr:row>1</xdr:row>
      <xdr:rowOff>9525</xdr:rowOff>
    </xdr:to>
    <xdr:pic>
      <xdr:nvPicPr>
        <xdr:cNvPr id="2" name="Picture 2" descr="banner"/>
        <xdr:cNvPicPr/>
      </xdr:nvPicPr>
      <xdr:blipFill>
        <a:blip r:embed="rId1"/>
        <a:stretch>
          <a:fillRect/>
        </a:stretch>
      </xdr:blipFill>
      <xdr:spPr>
        <a:xfrm>
          <a:off x="0" y="0"/>
          <a:ext cx="9788525" cy="771525"/>
        </a:xfrm>
        <a:prstGeom prst="rect">
          <a:avLst/>
        </a:prstGeom>
      </xdr:spPr>
    </xdr:pic>
    <xdr:clientData fLocksWithSheet="0"/>
  </xdr:twoCellAnchor>
  <xdr:twoCellAnchor editAs="oneCell">
    <xdr:from>
      <xdr:col>1</xdr:col>
      <xdr:colOff>95250</xdr:colOff>
      <xdr:row>3</xdr:row>
      <xdr:rowOff>95250</xdr:rowOff>
    </xdr:from>
    <xdr:to>
      <xdr:col>1</xdr:col>
      <xdr:colOff>2419350</xdr:colOff>
      <xdr:row>4</xdr:row>
      <xdr:rowOff>0</xdr:rowOff>
    </xdr:to>
    <xdr:pic>
      <xdr:nvPicPr>
        <xdr:cNvPr id="3" name="Picture 3" descr="qrCod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984750" y="2381250"/>
          <a:ext cx="2324100" cy="231775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knowledge.xiyouzhaoci.com/extension/" TargetMode="External"/><Relationship Id="rId2" Type="http://schemas.openxmlformats.org/officeDocument/2006/relationships/hyperlink" Target="https://www.xiyouzhaoci.com/?chan=excel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A317"/>
  <sheetViews>
    <sheetView tabSelected="1" zoomScale="175" zoomScaleNormal="175" workbookViewId="0">
      <pane xSplit="4" ySplit="1" topLeftCell="E314" activePane="bottomRight" state="frozen"/>
      <selection/>
      <selection pane="topRight"/>
      <selection pane="bottomLeft"/>
      <selection pane="bottomRight" activeCell="A2" sqref="A2:A317"/>
    </sheetView>
  </sheetViews>
  <sheetFormatPr defaultColWidth="9" defaultRowHeight="14.5"/>
  <cols>
    <col min="1" max="2" width="13" customWidth="1"/>
    <col min="3" max="3" width="20.7727272727273" customWidth="1"/>
    <col min="4" max="4" width="13" customWidth="1"/>
    <col min="5" max="5" width="8" customWidth="1"/>
    <col min="6" max="7" width="10" customWidth="1"/>
    <col min="8" max="8" width="12" customWidth="1"/>
    <col min="9" max="12" width="10" customWidth="1"/>
    <col min="13" max="14" width="13" customWidth="1"/>
    <col min="15" max="19" width="10" customWidth="1"/>
    <col min="20" max="20" width="22" customWidth="1"/>
    <col min="21" max="21" width="16" customWidth="1"/>
    <col min="22" max="22" width="10" customWidth="1"/>
    <col min="23" max="23" width="22" customWidth="1"/>
    <col min="24" max="24" width="16" customWidth="1"/>
    <col min="25" max="25" width="10" customWidth="1"/>
    <col min="26" max="27" width="18" customWidth="1"/>
  </cols>
  <sheetData>
    <row r="1" spans="1:27">
      <c r="A1" s="5" t="s">
        <v>0</v>
      </c>
      <c r="B1" s="6" t="s">
        <v>1</v>
      </c>
      <c r="C1" s="5" t="s">
        <v>2</v>
      </c>
      <c r="D1" s="5" t="s">
        <v>0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19</v>
      </c>
      <c r="Y1" s="5" t="s">
        <v>22</v>
      </c>
      <c r="Z1" s="5" t="s">
        <v>23</v>
      </c>
      <c r="AA1" s="5" t="s">
        <v>24</v>
      </c>
    </row>
    <row r="2" ht="46" customHeight="1" spans="1:27">
      <c r="A2" t="s">
        <v>25</v>
      </c>
      <c r="B2" t="str">
        <f>_xlfn.DISPIMG("ID_A6CFC0E25CEB40BAA310BA8A3C3EC431",1)</f>
        <v>=DISPIMG("ID_A6CFC0E25CEB40BAA310BA8A3C3EC431",1)</v>
      </c>
      <c r="C2" t="s">
        <v>26</v>
      </c>
      <c r="D2" t="s">
        <v>25</v>
      </c>
      <c r="E2" s="7">
        <v>161.97</v>
      </c>
      <c r="F2" s="7" t="s">
        <v>27</v>
      </c>
      <c r="G2" s="8" t="s">
        <v>28</v>
      </c>
      <c r="H2">
        <v>4000</v>
      </c>
      <c r="I2" s="8">
        <v>230702</v>
      </c>
      <c r="J2" s="9">
        <v>0.0341743275552014</v>
      </c>
      <c r="K2">
        <v>176260</v>
      </c>
      <c r="L2">
        <v>54442</v>
      </c>
      <c r="M2" s="10">
        <v>0.7640159</v>
      </c>
      <c r="N2" s="10">
        <v>0.23598409</v>
      </c>
      <c r="O2" s="9">
        <v>1.4510146</v>
      </c>
      <c r="P2" s="9">
        <v>1.1087052</v>
      </c>
      <c r="Q2" s="9">
        <v>0.34230947</v>
      </c>
      <c r="R2" t="s">
        <v>29</v>
      </c>
      <c r="S2" s="8">
        <v>6</v>
      </c>
      <c r="T2" t="s">
        <v>30</v>
      </c>
      <c r="U2" t="s">
        <v>31</v>
      </c>
      <c r="V2" s="8">
        <v>16</v>
      </c>
      <c r="W2" t="s">
        <v>32</v>
      </c>
      <c r="X2" t="s">
        <v>33</v>
      </c>
      <c r="Y2" s="8">
        <v>16875</v>
      </c>
      <c r="Z2" s="8">
        <v>14265</v>
      </c>
      <c r="AA2" s="8">
        <v>2610</v>
      </c>
    </row>
    <row r="3" ht="46" customHeight="1" spans="1:27">
      <c r="A3" t="s">
        <v>34</v>
      </c>
      <c r="B3" t="str">
        <f>_xlfn.DISPIMG("ID_CE78B2BBBAF24A8D97973472A375ACBA",1)</f>
        <v>=DISPIMG("ID_CE78B2BBBAF24A8D97973472A375ACBA",1)</v>
      </c>
      <c r="C3" t="s">
        <v>35</v>
      </c>
      <c r="D3" t="s">
        <v>34</v>
      </c>
      <c r="E3" s="7">
        <v>79.98</v>
      </c>
      <c r="F3" s="7" t="s">
        <v>36</v>
      </c>
      <c r="G3" s="8" t="s">
        <v>37</v>
      </c>
      <c r="H3">
        <v>4000</v>
      </c>
      <c r="I3" s="8">
        <v>151351</v>
      </c>
      <c r="J3" s="9">
        <v>0.0224199124836685</v>
      </c>
      <c r="K3">
        <v>147900</v>
      </c>
      <c r="L3">
        <v>3451</v>
      </c>
      <c r="M3" s="10">
        <v>0.9771987</v>
      </c>
      <c r="N3" s="10">
        <v>0.022801302</v>
      </c>
      <c r="O3" s="9">
        <v>0.95165354</v>
      </c>
      <c r="P3" s="9">
        <v>0.9290138</v>
      </c>
      <c r="Q3" s="9">
        <v>0.022639785</v>
      </c>
      <c r="R3" t="s">
        <v>38</v>
      </c>
      <c r="S3" s="8">
        <v>2</v>
      </c>
      <c r="T3" t="s">
        <v>39</v>
      </c>
      <c r="U3" t="s">
        <v>31</v>
      </c>
      <c r="V3" s="8">
        <v>4</v>
      </c>
      <c r="W3" t="s">
        <v>40</v>
      </c>
      <c r="X3" t="s">
        <v>41</v>
      </c>
      <c r="Y3" s="8">
        <v>12876</v>
      </c>
      <c r="Z3" s="8">
        <v>12190</v>
      </c>
      <c r="AA3" s="8">
        <v>686</v>
      </c>
    </row>
    <row r="4" ht="46" customHeight="1" spans="1:27">
      <c r="A4" t="s">
        <v>42</v>
      </c>
      <c r="B4" t="str">
        <f>_xlfn.DISPIMG("ID_3921243B57664B23BA75109E30B6C481",1)</f>
        <v>=DISPIMG("ID_3921243B57664B23BA75109E30B6C481",1)</v>
      </c>
      <c r="C4" t="s">
        <v>43</v>
      </c>
      <c r="D4" t="s">
        <v>42</v>
      </c>
      <c r="E4" s="7">
        <v>79.97</v>
      </c>
      <c r="F4" s="7" t="s">
        <v>27</v>
      </c>
      <c r="G4" s="8" t="s">
        <v>44</v>
      </c>
      <c r="H4">
        <v>4000</v>
      </c>
      <c r="I4" s="8">
        <v>150642</v>
      </c>
      <c r="J4" s="9">
        <v>0.0223148869605406</v>
      </c>
      <c r="K4">
        <v>113635</v>
      </c>
      <c r="L4">
        <v>37007</v>
      </c>
      <c r="M4" s="10">
        <v>0.7543381</v>
      </c>
      <c r="N4" s="10">
        <v>0.2456619</v>
      </c>
      <c r="O4" s="9">
        <v>0.94614226</v>
      </c>
      <c r="P4" s="9">
        <v>0.71008694</v>
      </c>
      <c r="Q4" s="9">
        <v>0.23605531</v>
      </c>
      <c r="R4" t="s">
        <v>45</v>
      </c>
      <c r="S4" s="8">
        <v>11</v>
      </c>
      <c r="T4" t="s">
        <v>46</v>
      </c>
      <c r="U4" t="s">
        <v>31</v>
      </c>
      <c r="V4" s="8">
        <v>1</v>
      </c>
      <c r="W4" t="s">
        <v>47</v>
      </c>
      <c r="X4" t="s">
        <v>31</v>
      </c>
      <c r="Y4" s="8">
        <v>12869</v>
      </c>
      <c r="Z4" s="8">
        <v>10499</v>
      </c>
      <c r="AA4" s="8">
        <v>2370</v>
      </c>
    </row>
    <row r="5" ht="46" customHeight="1" spans="1:27">
      <c r="A5" t="s">
        <v>48</v>
      </c>
      <c r="B5" t="str">
        <f>_xlfn.DISPIMG("ID_3102B67E901544BDA848756AAE3200C0",1)</f>
        <v>=DISPIMG("ID_3102B67E901544BDA848756AAE3200C0",1)</v>
      </c>
      <c r="C5" t="s">
        <v>49</v>
      </c>
      <c r="D5" t="s">
        <v>48</v>
      </c>
      <c r="E5" s="7">
        <v>93.48</v>
      </c>
      <c r="F5" s="7" t="s">
        <v>36</v>
      </c>
      <c r="G5" s="8" t="s">
        <v>50</v>
      </c>
      <c r="H5">
        <v>3000</v>
      </c>
      <c r="I5" s="8">
        <v>149565</v>
      </c>
      <c r="J5" s="9">
        <v>0.0221553488950841</v>
      </c>
      <c r="K5">
        <v>131832</v>
      </c>
      <c r="L5">
        <v>17733</v>
      </c>
      <c r="M5" s="10">
        <v>0.88143617</v>
      </c>
      <c r="N5" s="10">
        <v>0.11856384</v>
      </c>
      <c r="O5" s="9">
        <v>0.93873924</v>
      </c>
      <c r="P5" s="9">
        <v>0.82787746</v>
      </c>
      <c r="Q5" s="9">
        <v>0.11086178</v>
      </c>
      <c r="R5" t="s">
        <v>38</v>
      </c>
      <c r="S5" s="8">
        <v>1</v>
      </c>
      <c r="T5" t="s">
        <v>47</v>
      </c>
      <c r="U5" t="s">
        <v>31</v>
      </c>
      <c r="V5" s="8">
        <v>2</v>
      </c>
      <c r="W5" t="s">
        <v>39</v>
      </c>
      <c r="X5" t="s">
        <v>51</v>
      </c>
      <c r="Y5" s="8">
        <v>12181</v>
      </c>
      <c r="Z5" s="8">
        <v>10388</v>
      </c>
      <c r="AA5" s="8">
        <v>1793</v>
      </c>
    </row>
    <row r="6" ht="46" customHeight="1" spans="1:27">
      <c r="A6" t="s">
        <v>52</v>
      </c>
      <c r="B6" t="str">
        <f>_xlfn.DISPIMG("ID_A7BBD8E2AC524251B302296DF374D139",1)</f>
        <v>=DISPIMG("ID_A7BBD8E2AC524251B302296DF374D139",1)</v>
      </c>
      <c r="C6" t="s">
        <v>53</v>
      </c>
      <c r="D6" t="s">
        <v>52</v>
      </c>
      <c r="E6" s="7">
        <v>76.49</v>
      </c>
      <c r="F6" s="7" t="s">
        <v>36</v>
      </c>
      <c r="G6" s="8" t="s">
        <v>54</v>
      </c>
      <c r="H6">
        <v>4000</v>
      </c>
      <c r="I6" s="8">
        <v>140987</v>
      </c>
      <c r="J6" s="9">
        <v>0.0208846733839549</v>
      </c>
      <c r="K6">
        <v>79600</v>
      </c>
      <c r="L6">
        <v>61387</v>
      </c>
      <c r="M6" s="10">
        <v>0.56459105</v>
      </c>
      <c r="N6" s="10">
        <v>0.43540895</v>
      </c>
      <c r="O6" s="9">
        <v>0.88541085</v>
      </c>
      <c r="P6" s="9">
        <v>0.501495</v>
      </c>
      <c r="Q6" s="9">
        <v>0.38391584</v>
      </c>
      <c r="R6" t="s">
        <v>55</v>
      </c>
      <c r="S6" s="8">
        <v>3</v>
      </c>
      <c r="T6" t="s">
        <v>56</v>
      </c>
      <c r="U6" t="s">
        <v>31</v>
      </c>
      <c r="V6" s="8">
        <v>3</v>
      </c>
      <c r="W6" t="s">
        <v>56</v>
      </c>
      <c r="X6" t="s">
        <v>31</v>
      </c>
      <c r="Y6" s="8">
        <v>12367</v>
      </c>
      <c r="Z6" s="8">
        <v>7294</v>
      </c>
      <c r="AA6" s="8">
        <v>5073</v>
      </c>
    </row>
    <row r="7" ht="46" customHeight="1" spans="1:27">
      <c r="A7" t="s">
        <v>57</v>
      </c>
      <c r="B7" t="str">
        <f>_xlfn.DISPIMG("ID_3FF8161C6CB44864AFE76E213A38755D",1)</f>
        <v>=DISPIMG("ID_3FF8161C6CB44864AFE76E213A38755D",1)</v>
      </c>
      <c r="C7" t="s">
        <v>58</v>
      </c>
      <c r="D7" t="s">
        <v>57</v>
      </c>
      <c r="E7" s="7">
        <v>399</v>
      </c>
      <c r="F7" s="7" t="s">
        <v>27</v>
      </c>
      <c r="G7" s="8" t="s">
        <v>59</v>
      </c>
      <c r="H7">
        <v>1000</v>
      </c>
      <c r="I7" s="8">
        <v>131645</v>
      </c>
      <c r="J7" s="9">
        <v>0.0195008250947304</v>
      </c>
      <c r="K7">
        <v>64478</v>
      </c>
      <c r="L7">
        <v>67167</v>
      </c>
      <c r="M7" s="10">
        <v>0.48978692</v>
      </c>
      <c r="N7" s="10">
        <v>0.5102131</v>
      </c>
      <c r="O7" s="9">
        <v>0.8224273</v>
      </c>
      <c r="P7" s="9">
        <v>0.40519935</v>
      </c>
      <c r="Q7" s="9">
        <v>0.41722795</v>
      </c>
      <c r="R7" t="s">
        <v>60</v>
      </c>
      <c r="S7" s="8">
        <v>29</v>
      </c>
      <c r="T7" t="s">
        <v>61</v>
      </c>
      <c r="U7" t="s">
        <v>31</v>
      </c>
      <c r="V7" s="8">
        <v>2</v>
      </c>
      <c r="W7" t="s">
        <v>39</v>
      </c>
      <c r="X7" t="s">
        <v>62</v>
      </c>
      <c r="Y7" s="8">
        <v>12419</v>
      </c>
      <c r="Z7" s="8">
        <v>6333</v>
      </c>
      <c r="AA7" s="8">
        <v>6086</v>
      </c>
    </row>
    <row r="8" ht="46" customHeight="1" spans="1:27">
      <c r="A8" t="s">
        <v>63</v>
      </c>
      <c r="B8" t="str">
        <f>_xlfn.DISPIMG("ID_144F336C727B4AC395F775832092E1BD",1)</f>
        <v>=DISPIMG("ID_144F336C727B4AC395F775832092E1BD",1)</v>
      </c>
      <c r="C8" t="s">
        <v>64</v>
      </c>
      <c r="D8" t="s">
        <v>63</v>
      </c>
      <c r="E8" s="7">
        <v>109.99</v>
      </c>
      <c r="F8" s="7" t="s">
        <v>65</v>
      </c>
      <c r="G8" s="8" t="s">
        <v>66</v>
      </c>
      <c r="H8">
        <v>2000</v>
      </c>
      <c r="I8" s="8">
        <v>127396</v>
      </c>
      <c r="J8" s="9">
        <v>0.0188714126155059</v>
      </c>
      <c r="K8">
        <v>74224</v>
      </c>
      <c r="L8">
        <v>53172</v>
      </c>
      <c r="M8" s="10">
        <v>0.58262426</v>
      </c>
      <c r="N8" s="10">
        <v>0.41737574</v>
      </c>
      <c r="O8" s="9">
        <v>0.79972506</v>
      </c>
      <c r="P8" s="9">
        <v>0.46571913</v>
      </c>
      <c r="Q8" s="9">
        <v>0.3340059</v>
      </c>
      <c r="R8" t="s">
        <v>67</v>
      </c>
      <c r="S8" s="8">
        <v>18</v>
      </c>
      <c r="T8" t="s">
        <v>68</v>
      </c>
      <c r="U8" t="s">
        <v>31</v>
      </c>
      <c r="V8" s="8">
        <v>3</v>
      </c>
      <c r="W8" t="s">
        <v>69</v>
      </c>
      <c r="X8" t="s">
        <v>70</v>
      </c>
      <c r="Y8" s="8">
        <v>11542</v>
      </c>
      <c r="Z8" s="8">
        <v>6228</v>
      </c>
      <c r="AA8" s="8">
        <v>5314</v>
      </c>
    </row>
    <row r="9" ht="46" customHeight="1" spans="1:27">
      <c r="A9" t="s">
        <v>71</v>
      </c>
      <c r="B9" t="str">
        <f>_xlfn.DISPIMG("ID_AA42BDE11191479E93F4EA1D8EFFB9EC",1)</f>
        <v>=DISPIMG("ID_AA42BDE11191479E93F4EA1D8EFFB9EC",1)</v>
      </c>
      <c r="C9" t="s">
        <v>72</v>
      </c>
      <c r="D9" t="s">
        <v>71</v>
      </c>
      <c r="E9" s="7">
        <v>399</v>
      </c>
      <c r="F9" s="7" t="s">
        <v>65</v>
      </c>
      <c r="G9" s="8" t="s">
        <v>73</v>
      </c>
      <c r="H9">
        <v>1000</v>
      </c>
      <c r="I9" s="8">
        <v>120141</v>
      </c>
      <c r="J9" s="9">
        <v>0.0177967156193247</v>
      </c>
      <c r="K9">
        <v>75275</v>
      </c>
      <c r="L9">
        <v>44866</v>
      </c>
      <c r="M9" s="10">
        <v>0.62655544</v>
      </c>
      <c r="N9" s="10">
        <v>0.37344453</v>
      </c>
      <c r="O9" s="9">
        <v>0.74939764</v>
      </c>
      <c r="P9" s="9">
        <v>0.47206125</v>
      </c>
      <c r="Q9" s="9">
        <v>0.27733642</v>
      </c>
      <c r="R9" t="s">
        <v>74</v>
      </c>
      <c r="S9" s="8">
        <v>33</v>
      </c>
      <c r="T9" t="s">
        <v>75</v>
      </c>
      <c r="U9" t="s">
        <v>31</v>
      </c>
      <c r="V9" s="8">
        <v>12</v>
      </c>
      <c r="W9" t="s">
        <v>76</v>
      </c>
      <c r="X9" t="s">
        <v>77</v>
      </c>
      <c r="Y9" s="8">
        <v>9546</v>
      </c>
      <c r="Z9" s="8">
        <v>6966</v>
      </c>
      <c r="AA9" s="8">
        <v>2580</v>
      </c>
    </row>
    <row r="10" ht="46" customHeight="1" spans="1:27">
      <c r="A10" t="s">
        <v>78</v>
      </c>
      <c r="B10" t="str">
        <f>_xlfn.DISPIMG("ID_69C68BCB03A0473E818AB94CD54A17E4",1)</f>
        <v>=DISPIMG("ID_69C68BCB03A0473E818AB94CD54A17E4",1)</v>
      </c>
      <c r="C10" t="s">
        <v>79</v>
      </c>
      <c r="D10" t="s">
        <v>78</v>
      </c>
      <c r="E10" s="7">
        <v>455</v>
      </c>
      <c r="F10" s="7" t="s">
        <v>80</v>
      </c>
      <c r="G10" s="8" t="s">
        <v>81</v>
      </c>
      <c r="H10">
        <v>1000</v>
      </c>
      <c r="I10" s="8">
        <v>116003</v>
      </c>
      <c r="J10" s="9">
        <v>0.0171837457819439</v>
      </c>
      <c r="K10">
        <v>67142</v>
      </c>
      <c r="L10">
        <v>48861</v>
      </c>
      <c r="M10" s="10">
        <v>0.5787954</v>
      </c>
      <c r="N10" s="10">
        <v>0.42120463</v>
      </c>
      <c r="O10" s="9">
        <v>0.7245126</v>
      </c>
      <c r="P10" s="9">
        <v>0.42149574</v>
      </c>
      <c r="Q10" s="9">
        <v>0.30301684</v>
      </c>
      <c r="R10" t="s">
        <v>82</v>
      </c>
      <c r="S10" s="8">
        <v>26</v>
      </c>
      <c r="T10" t="s">
        <v>83</v>
      </c>
      <c r="U10" t="s">
        <v>31</v>
      </c>
      <c r="V10" s="8">
        <v>4</v>
      </c>
      <c r="W10" t="s">
        <v>40</v>
      </c>
      <c r="X10" t="s">
        <v>84</v>
      </c>
      <c r="Y10" s="8">
        <v>10506</v>
      </c>
      <c r="Z10" s="8">
        <v>7057</v>
      </c>
      <c r="AA10" s="8">
        <v>3449</v>
      </c>
    </row>
    <row r="11" ht="46" customHeight="1" spans="1:27">
      <c r="A11" t="s">
        <v>85</v>
      </c>
      <c r="B11" t="str">
        <f>_xlfn.DISPIMG("ID_59F4A8062573463D99B5F772111683DE",1)</f>
        <v>=DISPIMG("ID_59F4A8062573463D99B5F772111683DE",1)</v>
      </c>
      <c r="C11" t="s">
        <v>86</v>
      </c>
      <c r="D11" t="s">
        <v>85</v>
      </c>
      <c r="E11" s="7">
        <v>93.49</v>
      </c>
      <c r="F11" s="7" t="s">
        <v>87</v>
      </c>
      <c r="G11" s="8" t="s">
        <v>88</v>
      </c>
      <c r="H11">
        <v>500</v>
      </c>
      <c r="I11" s="8">
        <v>99620</v>
      </c>
      <c r="J11" s="9">
        <v>0.0147569007249576</v>
      </c>
      <c r="K11">
        <v>72627</v>
      </c>
      <c r="L11">
        <v>26993</v>
      </c>
      <c r="M11" s="10">
        <v>0.7290403</v>
      </c>
      <c r="N11" s="10">
        <v>0.27095965</v>
      </c>
      <c r="O11" s="9">
        <v>0.6160346</v>
      </c>
      <c r="P11" s="9">
        <v>0.449224</v>
      </c>
      <c r="Q11" s="9">
        <v>0.16681063</v>
      </c>
      <c r="R11" t="s">
        <v>38</v>
      </c>
      <c r="S11" s="8">
        <v>22</v>
      </c>
      <c r="T11" t="s">
        <v>89</v>
      </c>
      <c r="U11" t="s">
        <v>90</v>
      </c>
      <c r="V11" s="8">
        <v>12</v>
      </c>
      <c r="W11" t="s">
        <v>76</v>
      </c>
      <c r="X11" t="s">
        <v>91</v>
      </c>
      <c r="Y11" s="8">
        <v>7627</v>
      </c>
      <c r="Z11" s="8">
        <v>5445</v>
      </c>
      <c r="AA11" s="8">
        <v>2182</v>
      </c>
    </row>
    <row r="12" ht="46" customHeight="1" spans="1:27">
      <c r="A12" t="s">
        <v>92</v>
      </c>
      <c r="B12" t="str">
        <f>_xlfn.DISPIMG("ID_878C40D6ECDF42D493ECEF7A829FE02C",1)</f>
        <v>=DISPIMG("ID_878C40D6ECDF42D493ECEF7A829FE02C",1)</v>
      </c>
      <c r="C12" t="s">
        <v>93</v>
      </c>
      <c r="D12" t="s">
        <v>92</v>
      </c>
      <c r="E12" s="7">
        <v>89.97</v>
      </c>
      <c r="F12" s="7" t="s">
        <v>27</v>
      </c>
      <c r="G12" s="8" t="s">
        <v>94</v>
      </c>
      <c r="H12">
        <v>0</v>
      </c>
      <c r="I12" s="8">
        <v>98833</v>
      </c>
      <c r="J12" s="9">
        <v>0.0146403209129666</v>
      </c>
      <c r="K12">
        <v>98833</v>
      </c>
      <c r="L12">
        <v>0</v>
      </c>
      <c r="M12" s="10">
        <v>1</v>
      </c>
      <c r="N12" s="10">
        <v>0</v>
      </c>
      <c r="O12" s="9">
        <v>0.6179537</v>
      </c>
      <c r="P12" s="9">
        <v>0.6179537</v>
      </c>
      <c r="Q12" s="9">
        <v>0</v>
      </c>
      <c r="R12" t="s">
        <v>95</v>
      </c>
      <c r="S12" s="8">
        <v>20</v>
      </c>
      <c r="T12" t="s">
        <v>96</v>
      </c>
      <c r="U12" t="s">
        <v>31</v>
      </c>
      <c r="V12" s="8" t="s">
        <v>97</v>
      </c>
      <c r="W12" t="s">
        <v>97</v>
      </c>
      <c r="X12" t="s">
        <v>97</v>
      </c>
      <c r="Y12" s="8">
        <v>5541</v>
      </c>
      <c r="Z12" s="8">
        <v>5541</v>
      </c>
      <c r="AA12" s="8">
        <v>0</v>
      </c>
    </row>
    <row r="13" ht="46" customHeight="1" spans="1:27">
      <c r="A13" t="s">
        <v>98</v>
      </c>
      <c r="B13" t="str">
        <f>_xlfn.DISPIMG("ID_C4CB65C9A4BB48EFB9753E4A324AC2CE",1)</f>
        <v>=DISPIMG("ID_C4CB65C9A4BB48EFB9753E4A324AC2CE",1)</v>
      </c>
      <c r="C13" t="s">
        <v>99</v>
      </c>
      <c r="D13" t="s">
        <v>98</v>
      </c>
      <c r="E13" s="7">
        <v>53.99</v>
      </c>
      <c r="F13" s="7" t="s">
        <v>100</v>
      </c>
      <c r="G13" s="8" t="s">
        <v>101</v>
      </c>
      <c r="H13">
        <v>1000</v>
      </c>
      <c r="I13" s="8">
        <v>89414</v>
      </c>
      <c r="J13" s="9">
        <v>0.0132450664667873</v>
      </c>
      <c r="K13">
        <v>86749</v>
      </c>
      <c r="L13">
        <v>2665</v>
      </c>
      <c r="M13" s="10">
        <v>0.9701948</v>
      </c>
      <c r="N13" s="10">
        <v>0.029805176</v>
      </c>
      <c r="O13" s="9">
        <v>0.56195027</v>
      </c>
      <c r="P13" s="9">
        <v>0.5438241</v>
      </c>
      <c r="Q13" s="9">
        <v>0.01812616</v>
      </c>
      <c r="R13" t="s">
        <v>102</v>
      </c>
      <c r="S13" s="8">
        <v>53</v>
      </c>
      <c r="T13" t="s">
        <v>103</v>
      </c>
      <c r="U13" t="s">
        <v>31</v>
      </c>
      <c r="V13" s="8">
        <v>9</v>
      </c>
      <c r="W13" t="s">
        <v>104</v>
      </c>
      <c r="X13" t="s">
        <v>31</v>
      </c>
      <c r="Y13" s="8">
        <v>6613</v>
      </c>
      <c r="Z13" s="8">
        <v>4700</v>
      </c>
      <c r="AA13" s="8">
        <v>1913</v>
      </c>
    </row>
    <row r="14" ht="46" customHeight="1" spans="1:27">
      <c r="A14" t="s">
        <v>105</v>
      </c>
      <c r="B14" t="str">
        <f>_xlfn.DISPIMG("ID_087442A4A7544C2B96FED46E6822A8B9",1)</f>
        <v>=DISPIMG("ID_087442A4A7544C2B96FED46E6822A8B9",1)</v>
      </c>
      <c r="C14" t="s">
        <v>106</v>
      </c>
      <c r="D14" t="s">
        <v>105</v>
      </c>
      <c r="E14" s="7">
        <v>179.99</v>
      </c>
      <c r="F14" s="7" t="s">
        <v>107</v>
      </c>
      <c r="G14" s="8" t="s">
        <v>108</v>
      </c>
      <c r="H14">
        <v>1000</v>
      </c>
      <c r="I14" s="8">
        <v>87133</v>
      </c>
      <c r="J14" s="9">
        <v>0.0129071775834946</v>
      </c>
      <c r="K14">
        <v>73019</v>
      </c>
      <c r="L14">
        <v>14114</v>
      </c>
      <c r="M14" s="10">
        <v>0.83801776</v>
      </c>
      <c r="N14" s="10">
        <v>0.16198225</v>
      </c>
      <c r="O14" s="9">
        <v>0.54812574</v>
      </c>
      <c r="P14" s="9">
        <v>0.45959455</v>
      </c>
      <c r="Q14" s="9">
        <v>0.08853116</v>
      </c>
      <c r="R14" t="s">
        <v>109</v>
      </c>
      <c r="S14" s="8">
        <v>16</v>
      </c>
      <c r="T14" t="s">
        <v>110</v>
      </c>
      <c r="U14" t="s">
        <v>31</v>
      </c>
      <c r="V14" s="8">
        <v>7</v>
      </c>
      <c r="W14" t="s">
        <v>111</v>
      </c>
      <c r="X14" t="s">
        <v>112</v>
      </c>
      <c r="Y14" s="8">
        <v>8632</v>
      </c>
      <c r="Z14" s="8">
        <v>6372</v>
      </c>
      <c r="AA14" s="8">
        <v>2260</v>
      </c>
    </row>
    <row r="15" ht="46" customHeight="1" spans="1:27">
      <c r="A15" t="s">
        <v>113</v>
      </c>
      <c r="B15" t="str">
        <f>_xlfn.DISPIMG("ID_A486593B9B9A45E3826D4876CB1565C9",1)</f>
        <v>=DISPIMG("ID_A486593B9B9A45E3826D4876CB1565C9",1)</v>
      </c>
      <c r="C15" t="s">
        <v>114</v>
      </c>
      <c r="D15" t="s">
        <v>113</v>
      </c>
      <c r="E15" s="7">
        <v>118.99</v>
      </c>
      <c r="F15" s="7" t="s">
        <v>115</v>
      </c>
      <c r="G15" s="8" t="s">
        <v>116</v>
      </c>
      <c r="H15">
        <v>1000</v>
      </c>
      <c r="I15" s="8">
        <v>82686</v>
      </c>
      <c r="J15" s="9">
        <v>0.0122484349863867</v>
      </c>
      <c r="K15">
        <v>75972</v>
      </c>
      <c r="L15">
        <v>6714</v>
      </c>
      <c r="M15" s="10">
        <v>0.91880125</v>
      </c>
      <c r="N15" s="10">
        <v>0.08119875</v>
      </c>
      <c r="O15" s="9">
        <v>0.5178174</v>
      </c>
      <c r="P15" s="9">
        <v>0.4763264</v>
      </c>
      <c r="Q15" s="9">
        <v>0.041490935</v>
      </c>
      <c r="R15" t="s">
        <v>38</v>
      </c>
      <c r="S15" s="8">
        <v>5</v>
      </c>
      <c r="T15" t="s">
        <v>117</v>
      </c>
      <c r="U15" t="s">
        <v>31</v>
      </c>
      <c r="V15" s="8">
        <v>10</v>
      </c>
      <c r="W15" t="s">
        <v>118</v>
      </c>
      <c r="X15" t="s">
        <v>119</v>
      </c>
      <c r="Y15" s="8">
        <v>5551</v>
      </c>
      <c r="Z15" s="8">
        <v>4666</v>
      </c>
      <c r="AA15" s="8">
        <v>885</v>
      </c>
    </row>
    <row r="16" ht="46" customHeight="1" spans="1:27">
      <c r="A16" t="s">
        <v>120</v>
      </c>
      <c r="B16" t="str">
        <f>_xlfn.DISPIMG("ID_5B72EAB494AD44BAAFA497DF2B29ED4A",1)</f>
        <v>=DISPIMG("ID_5B72EAB494AD44BAAFA497DF2B29ED4A",1)</v>
      </c>
      <c r="C16" t="s">
        <v>121</v>
      </c>
      <c r="D16" t="s">
        <v>120</v>
      </c>
      <c r="E16" s="7">
        <v>109.99</v>
      </c>
      <c r="F16" s="7" t="s">
        <v>107</v>
      </c>
      <c r="G16" s="8" t="s">
        <v>122</v>
      </c>
      <c r="H16">
        <v>0</v>
      </c>
      <c r="I16" s="8">
        <v>82296</v>
      </c>
      <c r="J16" s="9">
        <v>0.0121906635420709</v>
      </c>
      <c r="K16">
        <v>81474</v>
      </c>
      <c r="L16">
        <v>822</v>
      </c>
      <c r="M16" s="10">
        <v>0.9900117</v>
      </c>
      <c r="N16" s="10">
        <v>0.009988335</v>
      </c>
      <c r="O16" s="9">
        <v>0.5154515</v>
      </c>
      <c r="P16" s="9">
        <v>0.5103774</v>
      </c>
      <c r="Q16" s="9">
        <v>0.005074062</v>
      </c>
      <c r="R16" t="s">
        <v>38</v>
      </c>
      <c r="S16" s="8">
        <v>19</v>
      </c>
      <c r="T16" t="s">
        <v>123</v>
      </c>
      <c r="U16" t="s">
        <v>31</v>
      </c>
      <c r="V16" s="8">
        <v>11</v>
      </c>
      <c r="W16" t="s">
        <v>124</v>
      </c>
      <c r="X16" t="s">
        <v>125</v>
      </c>
      <c r="Y16" s="8">
        <v>3466</v>
      </c>
      <c r="Z16" s="8">
        <v>3052</v>
      </c>
      <c r="AA16" s="8">
        <v>414</v>
      </c>
    </row>
    <row r="17" ht="46" customHeight="1" spans="1:27">
      <c r="A17" t="s">
        <v>126</v>
      </c>
      <c r="B17" t="str">
        <f>_xlfn.DISPIMG("ID_EC8FB076F5C546B4ABAA701B16506A4D",1)</f>
        <v>=DISPIMG("ID_EC8FB076F5C546B4ABAA701B16506A4D",1)</v>
      </c>
      <c r="C17" t="s">
        <v>127</v>
      </c>
      <c r="D17" t="s">
        <v>126</v>
      </c>
      <c r="E17" s="7">
        <v>59.98</v>
      </c>
      <c r="F17" s="7" t="s">
        <v>128</v>
      </c>
      <c r="G17" s="8" t="s">
        <v>129</v>
      </c>
      <c r="H17">
        <v>400</v>
      </c>
      <c r="I17" s="8">
        <v>80098</v>
      </c>
      <c r="J17" s="9">
        <v>0.0118650696071838</v>
      </c>
      <c r="K17">
        <v>75373</v>
      </c>
      <c r="L17">
        <v>4725</v>
      </c>
      <c r="M17" s="10">
        <v>0.94100976</v>
      </c>
      <c r="N17" s="10">
        <v>0.058990236</v>
      </c>
      <c r="O17" s="9">
        <v>0.50638974</v>
      </c>
      <c r="P17" s="9">
        <v>0.47720212</v>
      </c>
      <c r="Q17" s="9">
        <v>0.029187638</v>
      </c>
      <c r="R17" t="s">
        <v>38</v>
      </c>
      <c r="S17" s="8">
        <v>17</v>
      </c>
      <c r="T17" t="s">
        <v>130</v>
      </c>
      <c r="U17" t="s">
        <v>31</v>
      </c>
      <c r="V17" s="8">
        <v>11</v>
      </c>
      <c r="W17" t="s">
        <v>46</v>
      </c>
      <c r="X17" t="s">
        <v>131</v>
      </c>
      <c r="Y17" s="8">
        <v>4939</v>
      </c>
      <c r="Z17" s="8">
        <v>4420</v>
      </c>
      <c r="AA17" s="8">
        <v>519</v>
      </c>
    </row>
    <row r="18" ht="46" customHeight="1" spans="1:27">
      <c r="A18" t="s">
        <v>132</v>
      </c>
      <c r="B18" t="str">
        <f>_xlfn.DISPIMG("ID_70B72BF4402E4D6883DAFC29EFD85AC0",1)</f>
        <v>=DISPIMG("ID_70B72BF4402E4D6883DAFC29EFD85AC0",1)</v>
      </c>
      <c r="C18" t="s">
        <v>133</v>
      </c>
      <c r="D18" t="s">
        <v>132</v>
      </c>
      <c r="E18" s="7">
        <v>179</v>
      </c>
      <c r="F18" s="7" t="s">
        <v>65</v>
      </c>
      <c r="G18" s="8" t="s">
        <v>134</v>
      </c>
      <c r="H18">
        <v>500</v>
      </c>
      <c r="I18" s="8">
        <v>73085</v>
      </c>
      <c r="J18" s="9">
        <v>0.0108262205328601</v>
      </c>
      <c r="K18">
        <v>66096</v>
      </c>
      <c r="L18">
        <v>6989</v>
      </c>
      <c r="M18" s="10">
        <v>0.9043716</v>
      </c>
      <c r="N18" s="10">
        <v>0.09562838</v>
      </c>
      <c r="O18" s="9">
        <v>0.46004593</v>
      </c>
      <c r="P18" s="9">
        <v>0.41544825</v>
      </c>
      <c r="Q18" s="9">
        <v>0.044597678</v>
      </c>
      <c r="R18" t="s">
        <v>60</v>
      </c>
      <c r="S18" s="8">
        <v>22</v>
      </c>
      <c r="T18" t="s">
        <v>89</v>
      </c>
      <c r="U18" t="s">
        <v>31</v>
      </c>
      <c r="V18" s="8">
        <v>14</v>
      </c>
      <c r="W18" t="s">
        <v>135</v>
      </c>
      <c r="X18" t="s">
        <v>136</v>
      </c>
      <c r="Y18" s="8">
        <v>6416</v>
      </c>
      <c r="Z18" s="8">
        <v>3711</v>
      </c>
      <c r="AA18" s="8">
        <v>2705</v>
      </c>
    </row>
    <row r="19" ht="46" customHeight="1" spans="1:27">
      <c r="A19" t="s">
        <v>137</v>
      </c>
      <c r="B19" t="str">
        <f>_xlfn.DISPIMG("ID_E89EF276788C4FFB89A9B4C00D899F55",1)</f>
        <v>=DISPIMG("ID_E89EF276788C4FFB89A9B4C00D899F55",1)</v>
      </c>
      <c r="C19" t="s">
        <v>138</v>
      </c>
      <c r="D19" t="s">
        <v>137</v>
      </c>
      <c r="E19" s="7">
        <v>89.99</v>
      </c>
      <c r="F19" s="7" t="s">
        <v>115</v>
      </c>
      <c r="G19" s="8" t="s">
        <v>139</v>
      </c>
      <c r="H19">
        <v>600</v>
      </c>
      <c r="I19" s="8">
        <v>72877</v>
      </c>
      <c r="J19" s="9">
        <v>0.0107954090958917</v>
      </c>
      <c r="K19">
        <v>53034</v>
      </c>
      <c r="L19">
        <v>19843</v>
      </c>
      <c r="M19" s="10">
        <v>0.7277193</v>
      </c>
      <c r="N19" s="10">
        <v>0.2722807</v>
      </c>
      <c r="O19" s="9">
        <v>0.45409802</v>
      </c>
      <c r="P19" s="9">
        <v>0.32901177</v>
      </c>
      <c r="Q19" s="9">
        <v>0.12508626</v>
      </c>
      <c r="R19" t="s">
        <v>38</v>
      </c>
      <c r="S19" s="8">
        <v>63</v>
      </c>
      <c r="T19" t="s">
        <v>140</v>
      </c>
      <c r="U19" t="s">
        <v>141</v>
      </c>
      <c r="V19" s="8">
        <v>6</v>
      </c>
      <c r="W19" t="s">
        <v>30</v>
      </c>
      <c r="X19" t="s">
        <v>142</v>
      </c>
      <c r="Y19" s="8">
        <v>5076</v>
      </c>
      <c r="Z19" s="8">
        <v>3786</v>
      </c>
      <c r="AA19" s="8">
        <v>1290</v>
      </c>
    </row>
    <row r="20" ht="46" customHeight="1" spans="1:27">
      <c r="A20" t="s">
        <v>143</v>
      </c>
      <c r="B20" t="str">
        <f>_xlfn.DISPIMG("ID_AE15053FEED944D890956D4ACFCA5EBD",1)</f>
        <v>=DISPIMG("ID_AE15053FEED944D890956D4ACFCA5EBD",1)</v>
      </c>
      <c r="C20" t="s">
        <v>144</v>
      </c>
      <c r="D20" t="s">
        <v>143</v>
      </c>
      <c r="E20" s="7">
        <v>69.99</v>
      </c>
      <c r="F20" s="7" t="s">
        <v>115</v>
      </c>
      <c r="G20" s="8" t="s">
        <v>145</v>
      </c>
      <c r="H20">
        <v>50</v>
      </c>
      <c r="I20" s="8">
        <v>71966</v>
      </c>
      <c r="J20" s="9">
        <v>0.0106604609272465</v>
      </c>
      <c r="K20">
        <v>57211</v>
      </c>
      <c r="L20">
        <v>14755</v>
      </c>
      <c r="M20" s="10">
        <v>0.7949726</v>
      </c>
      <c r="N20" s="10">
        <v>0.20502737</v>
      </c>
      <c r="O20" s="9">
        <v>0.45455337</v>
      </c>
      <c r="P20" s="9">
        <v>0.36257187</v>
      </c>
      <c r="Q20" s="9">
        <v>0.09198149</v>
      </c>
      <c r="R20" t="s">
        <v>38</v>
      </c>
      <c r="S20" s="8">
        <v>14</v>
      </c>
      <c r="T20" t="s">
        <v>146</v>
      </c>
      <c r="U20" t="s">
        <v>31</v>
      </c>
      <c r="V20" s="8">
        <v>8</v>
      </c>
      <c r="W20" t="s">
        <v>147</v>
      </c>
      <c r="X20" t="s">
        <v>148</v>
      </c>
      <c r="Y20" s="8">
        <v>2907</v>
      </c>
      <c r="Z20" s="8">
        <v>1648</v>
      </c>
      <c r="AA20" s="8">
        <v>1259</v>
      </c>
    </row>
    <row r="21" ht="46" customHeight="1" spans="1:27">
      <c r="A21" t="s">
        <v>149</v>
      </c>
      <c r="B21" t="str">
        <f>_xlfn.DISPIMG("ID_82A88ABC8CF340FE94996AF5CA55E518",1)</f>
        <v>=DISPIMG("ID_82A88ABC8CF340FE94996AF5CA55E518",1)</v>
      </c>
      <c r="C21" t="s">
        <v>150</v>
      </c>
      <c r="D21" t="s">
        <v>149</v>
      </c>
      <c r="E21" s="7">
        <v>43.69</v>
      </c>
      <c r="F21" s="7" t="s">
        <v>65</v>
      </c>
      <c r="G21" s="8" t="s">
        <v>151</v>
      </c>
      <c r="H21">
        <v>100</v>
      </c>
      <c r="I21" s="8">
        <v>69884</v>
      </c>
      <c r="J21" s="9">
        <v>0.0103520502937456</v>
      </c>
      <c r="K21">
        <v>69884</v>
      </c>
      <c r="L21">
        <v>0</v>
      </c>
      <c r="M21" s="10">
        <v>1</v>
      </c>
      <c r="N21" s="10">
        <v>0</v>
      </c>
      <c r="O21" s="9">
        <v>0.4392543</v>
      </c>
      <c r="P21" s="9">
        <v>0.4392543</v>
      </c>
      <c r="Q21" s="9">
        <v>0</v>
      </c>
      <c r="R21" t="s">
        <v>152</v>
      </c>
      <c r="S21" s="8">
        <v>10</v>
      </c>
      <c r="T21" t="s">
        <v>118</v>
      </c>
      <c r="U21" t="s">
        <v>31</v>
      </c>
      <c r="V21" s="8">
        <v>18</v>
      </c>
      <c r="W21" t="s">
        <v>153</v>
      </c>
      <c r="X21" t="s">
        <v>154</v>
      </c>
      <c r="Y21" s="8">
        <v>2321</v>
      </c>
      <c r="Z21" s="8">
        <v>2321</v>
      </c>
      <c r="AA21" s="8">
        <v>0</v>
      </c>
    </row>
    <row r="22" ht="46" customHeight="1" spans="1:27">
      <c r="A22" t="s">
        <v>155</v>
      </c>
      <c r="B22" t="str">
        <f>_xlfn.DISPIMG("ID_43F999C71127459895B723BA440A1245",1)</f>
        <v>=DISPIMG("ID_43F999C71127459895B723BA440A1245",1)</v>
      </c>
      <c r="C22" t="s">
        <v>156</v>
      </c>
      <c r="D22" t="s">
        <v>155</v>
      </c>
      <c r="E22" s="7">
        <v>49.98</v>
      </c>
      <c r="F22" s="7" t="s">
        <v>87</v>
      </c>
      <c r="G22" s="8" t="s">
        <v>157</v>
      </c>
      <c r="H22">
        <v>700</v>
      </c>
      <c r="I22" s="8">
        <v>68409</v>
      </c>
      <c r="J22" s="9">
        <v>0.0101335557287053</v>
      </c>
      <c r="K22">
        <v>65371</v>
      </c>
      <c r="L22">
        <v>3038</v>
      </c>
      <c r="M22" s="10">
        <v>0.95559067</v>
      </c>
      <c r="N22" s="10">
        <v>0.04440936</v>
      </c>
      <c r="O22" s="9">
        <v>0.4307078</v>
      </c>
      <c r="P22" s="9">
        <v>0.41193914</v>
      </c>
      <c r="Q22" s="9">
        <v>0.018768664</v>
      </c>
      <c r="R22" t="s">
        <v>152</v>
      </c>
      <c r="S22" s="8">
        <v>9</v>
      </c>
      <c r="T22" t="s">
        <v>104</v>
      </c>
      <c r="U22" t="s">
        <v>31</v>
      </c>
      <c r="V22" s="8">
        <v>16</v>
      </c>
      <c r="W22" t="s">
        <v>32</v>
      </c>
      <c r="X22" t="s">
        <v>142</v>
      </c>
      <c r="Y22" s="8">
        <v>6003</v>
      </c>
      <c r="Z22" s="8">
        <v>4179</v>
      </c>
      <c r="AA22" s="8">
        <v>1824</v>
      </c>
    </row>
    <row r="23" ht="46" customHeight="1" spans="1:27">
      <c r="A23" t="s">
        <v>158</v>
      </c>
      <c r="B23" t="str">
        <f>_xlfn.DISPIMG("ID_712634713A5F44DABAA46115BF6DC7B3",1)</f>
        <v>=DISPIMG("ID_712634713A5F44DABAA46115BF6DC7B3",1)</v>
      </c>
      <c r="C23" t="s">
        <v>159</v>
      </c>
      <c r="D23" t="s">
        <v>158</v>
      </c>
      <c r="E23" s="7">
        <v>89.99</v>
      </c>
      <c r="F23" s="7" t="s">
        <v>36</v>
      </c>
      <c r="G23" s="8" t="s">
        <v>160</v>
      </c>
      <c r="H23">
        <v>1000</v>
      </c>
      <c r="I23" s="8">
        <v>67265</v>
      </c>
      <c r="J23" s="9">
        <v>0.00996409282537914</v>
      </c>
      <c r="K23">
        <v>65578</v>
      </c>
      <c r="L23">
        <v>1687</v>
      </c>
      <c r="M23" s="10">
        <v>0.9749201</v>
      </c>
      <c r="N23" s="10">
        <v>0.025079908</v>
      </c>
      <c r="O23" s="9">
        <v>0.41822034</v>
      </c>
      <c r="P23" s="9">
        <v>0.40750605</v>
      </c>
      <c r="Q23" s="9">
        <v>0.010714286</v>
      </c>
      <c r="R23" t="s">
        <v>67</v>
      </c>
      <c r="S23" s="8">
        <v>59</v>
      </c>
      <c r="T23" t="s">
        <v>161</v>
      </c>
      <c r="U23" t="s">
        <v>31</v>
      </c>
      <c r="V23" s="8">
        <v>9</v>
      </c>
      <c r="W23" t="s">
        <v>104</v>
      </c>
      <c r="X23" t="s">
        <v>162</v>
      </c>
      <c r="Y23" s="8">
        <v>6740</v>
      </c>
      <c r="Z23" s="8">
        <v>6341</v>
      </c>
      <c r="AA23" s="8">
        <v>399</v>
      </c>
    </row>
    <row r="24" ht="46" customHeight="1" spans="1:27">
      <c r="A24" t="s">
        <v>163</v>
      </c>
      <c r="B24" t="str">
        <f>_xlfn.DISPIMG("ID_467F6223AA1646188A597FBAA7B2F8A3",1)</f>
        <v>=DISPIMG("ID_467F6223AA1646188A597FBAA7B2F8A3",1)</v>
      </c>
      <c r="C24" t="s">
        <v>164</v>
      </c>
      <c r="D24" t="s">
        <v>163</v>
      </c>
      <c r="E24" s="7">
        <v>365.04</v>
      </c>
      <c r="F24" s="7" t="s">
        <v>27</v>
      </c>
      <c r="G24" s="8" t="s">
        <v>165</v>
      </c>
      <c r="H24">
        <v>300</v>
      </c>
      <c r="I24" s="8">
        <v>66250</v>
      </c>
      <c r="J24" s="9">
        <v>0.00981373893824973</v>
      </c>
      <c r="K24">
        <v>66250</v>
      </c>
      <c r="L24">
        <v>0</v>
      </c>
      <c r="M24" s="10">
        <v>1</v>
      </c>
      <c r="N24" s="10">
        <v>0</v>
      </c>
      <c r="O24" s="9">
        <v>0.41614413</v>
      </c>
      <c r="P24" s="9">
        <v>0.41614413</v>
      </c>
      <c r="Q24" s="9">
        <v>0</v>
      </c>
      <c r="R24" t="s">
        <v>95</v>
      </c>
      <c r="S24" s="8">
        <v>24</v>
      </c>
      <c r="T24" t="s">
        <v>166</v>
      </c>
      <c r="U24" t="s">
        <v>31</v>
      </c>
      <c r="V24" s="8" t="s">
        <v>97</v>
      </c>
      <c r="W24" t="s">
        <v>97</v>
      </c>
      <c r="X24" t="s">
        <v>97</v>
      </c>
      <c r="Y24" s="8">
        <v>7264</v>
      </c>
      <c r="Z24" s="8">
        <v>7264</v>
      </c>
      <c r="AA24" s="8">
        <v>0</v>
      </c>
    </row>
    <row r="25" ht="46" customHeight="1" spans="1:27">
      <c r="A25" t="s">
        <v>167</v>
      </c>
      <c r="B25" t="str">
        <f>_xlfn.DISPIMG("ID_E5D3591736AE4CF3AE3F222F89AFE134",1)</f>
        <v>=DISPIMG("ID_E5D3591736AE4CF3AE3F222F89AFE134",1)</v>
      </c>
      <c r="C25" t="s">
        <v>168</v>
      </c>
      <c r="D25" t="s">
        <v>167</v>
      </c>
      <c r="E25" s="7">
        <v>109.99</v>
      </c>
      <c r="F25" s="7" t="s">
        <v>115</v>
      </c>
      <c r="G25" s="8" t="s">
        <v>100</v>
      </c>
      <c r="H25">
        <v>1000</v>
      </c>
      <c r="I25" s="8">
        <v>65490</v>
      </c>
      <c r="J25" s="9">
        <v>0.0097011586877883</v>
      </c>
      <c r="K25">
        <v>62975</v>
      </c>
      <c r="L25">
        <v>2515</v>
      </c>
      <c r="M25" s="10">
        <v>0.9615972</v>
      </c>
      <c r="N25" s="10">
        <v>0.03840281</v>
      </c>
      <c r="O25" s="9">
        <v>0.41132128</v>
      </c>
      <c r="P25" s="9">
        <v>0.3952712</v>
      </c>
      <c r="Q25" s="9">
        <v>0.016050072</v>
      </c>
      <c r="R25" t="s">
        <v>169</v>
      </c>
      <c r="S25" s="8">
        <v>34</v>
      </c>
      <c r="T25" t="s">
        <v>170</v>
      </c>
      <c r="U25" t="s">
        <v>31</v>
      </c>
      <c r="V25" s="8">
        <v>11</v>
      </c>
      <c r="W25" t="s">
        <v>46</v>
      </c>
      <c r="X25" t="s">
        <v>148</v>
      </c>
      <c r="Y25" s="8">
        <v>4654</v>
      </c>
      <c r="Z25" s="8">
        <v>4357</v>
      </c>
      <c r="AA25" s="8">
        <v>297</v>
      </c>
    </row>
    <row r="26" ht="46" customHeight="1" spans="1:27">
      <c r="A26" t="s">
        <v>171</v>
      </c>
      <c r="B26" t="str">
        <f>_xlfn.DISPIMG("ID_FC33F60A798443168A645FE20A9D706A",1)</f>
        <v>=DISPIMG("ID_FC33F60A798443168A645FE20A9D706A",1)</v>
      </c>
      <c r="C26" t="s">
        <v>172</v>
      </c>
      <c r="D26" t="s">
        <v>171</v>
      </c>
      <c r="E26" s="7">
        <v>79.99</v>
      </c>
      <c r="F26" s="7" t="s">
        <v>87</v>
      </c>
      <c r="G26" s="8" t="s">
        <v>173</v>
      </c>
      <c r="H26">
        <v>700</v>
      </c>
      <c r="I26" s="8">
        <v>63577</v>
      </c>
      <c r="J26" s="9">
        <v>0.0094177823468242</v>
      </c>
      <c r="K26">
        <v>60975</v>
      </c>
      <c r="L26">
        <v>2602</v>
      </c>
      <c r="M26" s="10">
        <v>0.95907325</v>
      </c>
      <c r="N26" s="10">
        <v>0.04092675</v>
      </c>
      <c r="O26" s="9">
        <v>0.395516</v>
      </c>
      <c r="P26" s="9">
        <v>0.37944698</v>
      </c>
      <c r="Q26" s="9">
        <v>0.016069014</v>
      </c>
      <c r="R26" t="s">
        <v>102</v>
      </c>
      <c r="S26" s="8">
        <v>51</v>
      </c>
      <c r="T26" t="s">
        <v>69</v>
      </c>
      <c r="U26" t="s">
        <v>31</v>
      </c>
      <c r="V26" s="8">
        <v>14</v>
      </c>
      <c r="W26" t="s">
        <v>174</v>
      </c>
      <c r="X26" t="s">
        <v>131</v>
      </c>
      <c r="Y26" s="8">
        <v>3589</v>
      </c>
      <c r="Z26" s="8">
        <v>3283</v>
      </c>
      <c r="AA26" s="8">
        <v>306</v>
      </c>
    </row>
    <row r="27" ht="46" customHeight="1" spans="1:27">
      <c r="A27" t="s">
        <v>175</v>
      </c>
      <c r="B27" t="str">
        <f>_xlfn.DISPIMG("ID_3AED672001644EA28122EE794444FDE7",1)</f>
        <v>=DISPIMG("ID_3AED672001644EA28122EE794444FDE7",1)</v>
      </c>
      <c r="C27" t="s">
        <v>176</v>
      </c>
      <c r="D27" t="s">
        <v>175</v>
      </c>
      <c r="E27" s="7">
        <v>69.99</v>
      </c>
      <c r="F27" s="7" t="s">
        <v>36</v>
      </c>
      <c r="G27" s="8" t="s">
        <v>177</v>
      </c>
      <c r="H27">
        <v>0</v>
      </c>
      <c r="I27" s="8">
        <v>60488</v>
      </c>
      <c r="J27" s="9">
        <v>0.00896020288146188</v>
      </c>
      <c r="K27">
        <v>58589</v>
      </c>
      <c r="L27">
        <v>1899</v>
      </c>
      <c r="M27" s="10">
        <v>0.96860534</v>
      </c>
      <c r="N27" s="10">
        <v>0.031394657</v>
      </c>
      <c r="O27" s="9">
        <v>0.37552798</v>
      </c>
      <c r="P27" s="9">
        <v>0.36379746</v>
      </c>
      <c r="Q27" s="9">
        <v>0.011730522</v>
      </c>
      <c r="R27" t="s">
        <v>169</v>
      </c>
      <c r="S27" s="8">
        <v>135</v>
      </c>
      <c r="T27" t="s">
        <v>178</v>
      </c>
      <c r="U27" t="s">
        <v>31</v>
      </c>
      <c r="V27" s="8">
        <v>17</v>
      </c>
      <c r="W27" t="s">
        <v>103</v>
      </c>
      <c r="X27" t="s">
        <v>179</v>
      </c>
      <c r="Y27" s="8">
        <v>4055</v>
      </c>
      <c r="Z27" s="8">
        <v>3861</v>
      </c>
      <c r="AA27" s="8">
        <v>194</v>
      </c>
    </row>
    <row r="28" ht="46" customHeight="1" spans="1:27">
      <c r="A28" t="s">
        <v>180</v>
      </c>
      <c r="B28" t="str">
        <f>_xlfn.DISPIMG("ID_6F5B1557D44642F4AE127D8760028444",1)</f>
        <v>=DISPIMG("ID_6F5B1557D44642F4AE127D8760028444",1)</v>
      </c>
      <c r="C28" t="s">
        <v>181</v>
      </c>
      <c r="D28" t="s">
        <v>180</v>
      </c>
      <c r="E28" s="7">
        <v>159.99</v>
      </c>
      <c r="F28" s="7" t="s">
        <v>27</v>
      </c>
      <c r="G28" s="8" t="s">
        <v>182</v>
      </c>
      <c r="H28">
        <v>1000</v>
      </c>
      <c r="I28" s="8">
        <v>58401</v>
      </c>
      <c r="J28" s="9">
        <v>0.00865105158841845</v>
      </c>
      <c r="K28">
        <v>32524</v>
      </c>
      <c r="L28">
        <v>25877</v>
      </c>
      <c r="M28" s="10">
        <v>0.55690825</v>
      </c>
      <c r="N28" s="10">
        <v>0.44309172</v>
      </c>
      <c r="O28" s="9">
        <v>0.36826265</v>
      </c>
      <c r="P28" s="9">
        <v>0.20747134</v>
      </c>
      <c r="Q28" s="9">
        <v>0.1607913</v>
      </c>
      <c r="R28" t="s">
        <v>109</v>
      </c>
      <c r="S28" s="8">
        <v>35</v>
      </c>
      <c r="T28" t="s">
        <v>183</v>
      </c>
      <c r="U28" t="s">
        <v>31</v>
      </c>
      <c r="V28" s="8">
        <v>2</v>
      </c>
      <c r="W28" t="s">
        <v>39</v>
      </c>
      <c r="X28" t="s">
        <v>184</v>
      </c>
      <c r="Y28" s="8">
        <v>6865</v>
      </c>
      <c r="Z28" s="8">
        <v>3968</v>
      </c>
      <c r="AA28" s="8">
        <v>2897</v>
      </c>
    </row>
    <row r="29" ht="46" customHeight="1" spans="1:27">
      <c r="A29" t="s">
        <v>185</v>
      </c>
      <c r="B29" t="str">
        <f>_xlfn.DISPIMG("ID_02635C4BA00E460CB722533D77ACD71B",1)</f>
        <v>=DISPIMG("ID_02635C4BA00E460CB722533D77ACD71B",1)</v>
      </c>
      <c r="C29" t="s">
        <v>186</v>
      </c>
      <c r="D29" t="s">
        <v>185</v>
      </c>
      <c r="E29" s="7">
        <v>139.98</v>
      </c>
      <c r="F29" s="7" t="s">
        <v>107</v>
      </c>
      <c r="G29" s="8" t="s">
        <v>187</v>
      </c>
      <c r="H29">
        <v>1000</v>
      </c>
      <c r="I29" s="8">
        <v>57763</v>
      </c>
      <c r="J29" s="9">
        <v>0.00855654343079425</v>
      </c>
      <c r="K29">
        <v>57763</v>
      </c>
      <c r="L29">
        <v>0</v>
      </c>
      <c r="M29" s="10">
        <v>1</v>
      </c>
      <c r="N29" s="10">
        <v>0</v>
      </c>
      <c r="O29" s="9">
        <v>0.35772207</v>
      </c>
      <c r="P29" s="9">
        <v>0.35772207</v>
      </c>
      <c r="Q29" s="9">
        <v>0</v>
      </c>
      <c r="R29" t="s">
        <v>188</v>
      </c>
      <c r="S29" s="8">
        <v>14</v>
      </c>
      <c r="T29" t="s">
        <v>146</v>
      </c>
      <c r="U29" t="s">
        <v>84</v>
      </c>
      <c r="V29" s="8" t="s">
        <v>97</v>
      </c>
      <c r="W29" t="s">
        <v>97</v>
      </c>
      <c r="X29" t="s">
        <v>97</v>
      </c>
      <c r="Y29" s="8">
        <v>4720</v>
      </c>
      <c r="Z29" s="8">
        <v>4720</v>
      </c>
      <c r="AA29" s="8">
        <v>0</v>
      </c>
    </row>
    <row r="30" ht="46" customHeight="1" spans="1:27">
      <c r="A30" t="s">
        <v>189</v>
      </c>
      <c r="B30" t="str">
        <f>_xlfn.DISPIMG("ID_E527C2FBC7FB4FB0864D23ED24E30A01",1)</f>
        <v>=DISPIMG("ID_E527C2FBC7FB4FB0864D23ED24E30A01",1)</v>
      </c>
      <c r="C30" t="s">
        <v>190</v>
      </c>
      <c r="D30" t="s">
        <v>189</v>
      </c>
      <c r="E30" s="7">
        <v>45.99</v>
      </c>
      <c r="F30" s="7" t="s">
        <v>191</v>
      </c>
      <c r="G30" s="8" t="s">
        <v>94</v>
      </c>
      <c r="H30">
        <v>0</v>
      </c>
      <c r="I30" s="8">
        <v>57409</v>
      </c>
      <c r="J30" s="9">
        <v>0.00850410473518459</v>
      </c>
      <c r="K30">
        <v>57409</v>
      </c>
      <c r="L30">
        <v>0</v>
      </c>
      <c r="M30" s="10">
        <v>1</v>
      </c>
      <c r="N30" s="10">
        <v>0</v>
      </c>
      <c r="O30" s="9">
        <v>0.36107773</v>
      </c>
      <c r="P30" s="9">
        <v>0.36107773</v>
      </c>
      <c r="Q30" s="9">
        <v>0</v>
      </c>
      <c r="R30" t="s">
        <v>95</v>
      </c>
      <c r="S30" s="8">
        <v>46</v>
      </c>
      <c r="T30" t="s">
        <v>192</v>
      </c>
      <c r="U30" t="s">
        <v>31</v>
      </c>
      <c r="V30" s="8" t="s">
        <v>97</v>
      </c>
      <c r="W30" t="s">
        <v>97</v>
      </c>
      <c r="X30" t="s">
        <v>97</v>
      </c>
      <c r="Y30" s="8">
        <v>2068</v>
      </c>
      <c r="Z30" s="8">
        <v>2068</v>
      </c>
      <c r="AA30" s="8">
        <v>0</v>
      </c>
    </row>
    <row r="31" ht="46" customHeight="1" spans="1:27">
      <c r="A31" t="s">
        <v>193</v>
      </c>
      <c r="B31" t="str">
        <f>_xlfn.DISPIMG("ID_5F14AEF95F76428C8DA418E076846D26",1)</f>
        <v>=DISPIMG("ID_5F14AEF95F76428C8DA418E076846D26",1)</v>
      </c>
      <c r="C31" t="s">
        <v>194</v>
      </c>
      <c r="D31" t="s">
        <v>193</v>
      </c>
      <c r="E31" s="7">
        <v>49.98</v>
      </c>
      <c r="F31" s="7" t="s">
        <v>195</v>
      </c>
      <c r="G31" s="8" t="s">
        <v>196</v>
      </c>
      <c r="H31">
        <v>500</v>
      </c>
      <c r="I31" s="8">
        <v>53919</v>
      </c>
      <c r="J31" s="9">
        <v>0.00798712437451302</v>
      </c>
      <c r="K31">
        <v>52687</v>
      </c>
      <c r="L31">
        <v>1232</v>
      </c>
      <c r="M31" s="10">
        <v>0.9771509</v>
      </c>
      <c r="N31" s="10">
        <v>0.022849089</v>
      </c>
      <c r="O31" s="9">
        <v>0.3377319</v>
      </c>
      <c r="P31" s="9">
        <v>0.32983658</v>
      </c>
      <c r="Q31" s="9">
        <v>0.007895348</v>
      </c>
      <c r="R31" t="s">
        <v>38</v>
      </c>
      <c r="S31" s="8">
        <v>45</v>
      </c>
      <c r="T31" t="s">
        <v>197</v>
      </c>
      <c r="U31" t="s">
        <v>31</v>
      </c>
      <c r="V31" s="8">
        <v>2</v>
      </c>
      <c r="W31" t="s">
        <v>39</v>
      </c>
      <c r="X31" t="s">
        <v>198</v>
      </c>
      <c r="Y31" s="8">
        <v>3464</v>
      </c>
      <c r="Z31" s="8">
        <v>3345</v>
      </c>
      <c r="AA31" s="8">
        <v>119</v>
      </c>
    </row>
    <row r="32" ht="46" customHeight="1" spans="1:27">
      <c r="A32" t="s">
        <v>199</v>
      </c>
      <c r="B32" t="str">
        <f>_xlfn.DISPIMG("ID_6BBD247A31DD429C908FCAA85D45DA63",1)</f>
        <v>=DISPIMG("ID_6BBD247A31DD429C908FCAA85D45DA63",1)</v>
      </c>
      <c r="C32" t="s">
        <v>200</v>
      </c>
      <c r="D32" t="s">
        <v>199</v>
      </c>
      <c r="E32" s="7">
        <v>189.98</v>
      </c>
      <c r="F32" s="7" t="s">
        <v>100</v>
      </c>
      <c r="G32" s="8" t="s">
        <v>201</v>
      </c>
      <c r="H32">
        <v>300</v>
      </c>
      <c r="I32" s="8">
        <v>53881</v>
      </c>
      <c r="J32" s="9">
        <v>0.00798149536198994</v>
      </c>
      <c r="K32">
        <v>53881</v>
      </c>
      <c r="L32">
        <v>0</v>
      </c>
      <c r="M32" s="10">
        <v>1</v>
      </c>
      <c r="N32" s="10">
        <v>0</v>
      </c>
      <c r="O32" s="9">
        <v>0.3364496</v>
      </c>
      <c r="P32" s="9">
        <v>0.3364496</v>
      </c>
      <c r="Q32" s="9">
        <v>0</v>
      </c>
      <c r="R32" t="s">
        <v>95</v>
      </c>
      <c r="S32" s="8">
        <v>48</v>
      </c>
      <c r="T32" t="s">
        <v>202</v>
      </c>
      <c r="U32" t="s">
        <v>31</v>
      </c>
      <c r="V32" s="8" t="s">
        <v>97</v>
      </c>
      <c r="W32" t="s">
        <v>97</v>
      </c>
      <c r="X32" t="s">
        <v>97</v>
      </c>
      <c r="Y32" s="8">
        <v>4255</v>
      </c>
      <c r="Z32" s="8">
        <v>3933</v>
      </c>
      <c r="AA32" s="8">
        <v>322</v>
      </c>
    </row>
    <row r="33" ht="46" customHeight="1" spans="1:27">
      <c r="A33" t="s">
        <v>203</v>
      </c>
      <c r="B33" t="str">
        <f>_xlfn.DISPIMG("ID_FD6C2F5114554820839337A88BEEEB38",1)</f>
        <v>=DISPIMG("ID_FD6C2F5114554820839337A88BEEEB38",1)</v>
      </c>
      <c r="C33" t="s">
        <v>204</v>
      </c>
      <c r="D33" t="s">
        <v>203</v>
      </c>
      <c r="E33" s="7">
        <v>139.99</v>
      </c>
      <c r="F33" s="7" t="s">
        <v>128</v>
      </c>
      <c r="G33" s="8" t="s">
        <v>205</v>
      </c>
      <c r="H33">
        <v>400</v>
      </c>
      <c r="I33" s="8">
        <v>52016</v>
      </c>
      <c r="J33" s="9">
        <v>0.00770522935263393</v>
      </c>
      <c r="K33">
        <v>37049</v>
      </c>
      <c r="L33">
        <v>14967</v>
      </c>
      <c r="M33" s="10">
        <v>0.7122616</v>
      </c>
      <c r="N33" s="10">
        <v>0.28773838</v>
      </c>
      <c r="O33" s="9">
        <v>0.3244208</v>
      </c>
      <c r="P33" s="9">
        <v>0.23083492</v>
      </c>
      <c r="Q33" s="9">
        <v>0.093585916</v>
      </c>
      <c r="R33" t="s">
        <v>206</v>
      </c>
      <c r="S33" s="8">
        <v>68</v>
      </c>
      <c r="T33" t="s">
        <v>207</v>
      </c>
      <c r="U33" t="s">
        <v>31</v>
      </c>
      <c r="V33" s="8">
        <v>9</v>
      </c>
      <c r="W33" t="s">
        <v>104</v>
      </c>
      <c r="X33" t="s">
        <v>33</v>
      </c>
      <c r="Y33" s="8">
        <v>4598</v>
      </c>
      <c r="Z33" s="8">
        <v>3482</v>
      </c>
      <c r="AA33" s="8">
        <v>1116</v>
      </c>
    </row>
    <row r="34" ht="46" customHeight="1" spans="1:27">
      <c r="A34" t="s">
        <v>208</v>
      </c>
      <c r="B34" t="str">
        <f>_xlfn.DISPIMG("ID_CB0D9192E0704D88B6BB89F12864C981",1)</f>
        <v>=DISPIMG("ID_CB0D9192E0704D88B6BB89F12864C981",1)</v>
      </c>
      <c r="C34" t="s">
        <v>209</v>
      </c>
      <c r="D34" t="s">
        <v>208</v>
      </c>
      <c r="E34" s="7">
        <v>79.99</v>
      </c>
      <c r="F34" s="7" t="s">
        <v>87</v>
      </c>
      <c r="G34" s="8" t="s">
        <v>210</v>
      </c>
      <c r="H34">
        <v>300</v>
      </c>
      <c r="I34" s="8">
        <v>51522</v>
      </c>
      <c r="J34" s="9">
        <v>0.007632052189834</v>
      </c>
      <c r="K34">
        <v>39676</v>
      </c>
      <c r="L34">
        <v>11846</v>
      </c>
      <c r="M34" s="10">
        <v>0.7700788</v>
      </c>
      <c r="N34" s="10">
        <v>0.22992119</v>
      </c>
      <c r="O34" s="9">
        <v>0.33136097</v>
      </c>
      <c r="P34" s="9">
        <v>0.25731725</v>
      </c>
      <c r="Q34" s="9">
        <v>0.07404373</v>
      </c>
      <c r="R34" t="s">
        <v>38</v>
      </c>
      <c r="S34" s="8">
        <v>13</v>
      </c>
      <c r="T34" t="s">
        <v>211</v>
      </c>
      <c r="U34" t="s">
        <v>31</v>
      </c>
      <c r="V34" s="8">
        <v>5</v>
      </c>
      <c r="W34" t="s">
        <v>117</v>
      </c>
      <c r="X34" t="s">
        <v>33</v>
      </c>
      <c r="Y34" s="8">
        <v>3626</v>
      </c>
      <c r="Z34" s="8">
        <v>2475</v>
      </c>
      <c r="AA34" s="8">
        <v>1151</v>
      </c>
    </row>
    <row r="35" ht="46" customHeight="1" spans="1:27">
      <c r="A35" t="s">
        <v>212</v>
      </c>
      <c r="B35" t="str">
        <f>_xlfn.DISPIMG("ID_6AF4F7C419E64E9A9AE286A356A34F01",1)</f>
        <v>=DISPIMG("ID_6AF4F7C419E64E9A9AE286A356A34F01",1)</v>
      </c>
      <c r="C35" t="s">
        <v>213</v>
      </c>
      <c r="D35" t="s">
        <v>212</v>
      </c>
      <c r="E35" s="7">
        <v>179.99</v>
      </c>
      <c r="F35" s="7" t="s">
        <v>214</v>
      </c>
      <c r="G35" s="8" t="s">
        <v>215</v>
      </c>
      <c r="H35">
        <v>0</v>
      </c>
      <c r="I35" s="8">
        <v>49567</v>
      </c>
      <c r="J35" s="9">
        <v>0.00734245430871282</v>
      </c>
      <c r="K35">
        <v>49103</v>
      </c>
      <c r="L35">
        <v>464</v>
      </c>
      <c r="M35" s="10">
        <v>0.9906389</v>
      </c>
      <c r="N35" s="10">
        <v>0.009361067</v>
      </c>
      <c r="O35" s="9">
        <v>0.3063933</v>
      </c>
      <c r="P35" s="9">
        <v>0.303529</v>
      </c>
      <c r="Q35" s="9">
        <v>0.0028642926</v>
      </c>
      <c r="R35" t="s">
        <v>152</v>
      </c>
      <c r="S35" s="8">
        <v>36</v>
      </c>
      <c r="T35" t="s">
        <v>216</v>
      </c>
      <c r="U35" t="s">
        <v>217</v>
      </c>
      <c r="V35" s="8">
        <v>5</v>
      </c>
      <c r="W35" t="s">
        <v>117</v>
      </c>
      <c r="X35" t="s">
        <v>218</v>
      </c>
      <c r="Y35" s="8">
        <v>3992</v>
      </c>
      <c r="Z35" s="8">
        <v>3553</v>
      </c>
      <c r="AA35" s="8">
        <v>439</v>
      </c>
    </row>
    <row r="36" ht="46" customHeight="1" spans="1:27">
      <c r="A36" t="s">
        <v>219</v>
      </c>
      <c r="B36" t="str">
        <f>_xlfn.DISPIMG("ID_47D1203C7BC3405B827EEBB20FECCFBC",1)</f>
        <v>=DISPIMG("ID_47D1203C7BC3405B827EEBB20FECCFBC",1)</v>
      </c>
      <c r="C36" t="s">
        <v>220</v>
      </c>
      <c r="D36" t="s">
        <v>219</v>
      </c>
      <c r="E36" s="7">
        <v>150.89</v>
      </c>
      <c r="F36" s="7" t="s">
        <v>195</v>
      </c>
      <c r="G36" s="8" t="s">
        <v>221</v>
      </c>
      <c r="H36">
        <v>400</v>
      </c>
      <c r="I36" s="8">
        <v>48837</v>
      </c>
      <c r="J36" s="9">
        <v>0.00723431801550645</v>
      </c>
      <c r="K36">
        <v>21860</v>
      </c>
      <c r="L36">
        <v>26977</v>
      </c>
      <c r="M36" s="10">
        <v>0.44761145</v>
      </c>
      <c r="N36" s="10">
        <v>0.55238855</v>
      </c>
      <c r="O36" s="9">
        <v>0.303419</v>
      </c>
      <c r="P36" s="9">
        <v>0.13667794</v>
      </c>
      <c r="Q36" s="9">
        <v>0.16674106</v>
      </c>
      <c r="R36" t="s">
        <v>60</v>
      </c>
      <c r="S36" s="8">
        <v>93</v>
      </c>
      <c r="T36" t="s">
        <v>222</v>
      </c>
      <c r="U36" t="s">
        <v>84</v>
      </c>
      <c r="V36" s="8">
        <v>2</v>
      </c>
      <c r="W36" t="s">
        <v>39</v>
      </c>
      <c r="X36" t="s">
        <v>223</v>
      </c>
      <c r="Y36" s="8">
        <v>4947</v>
      </c>
      <c r="Z36" s="8">
        <v>3305</v>
      </c>
      <c r="AA36" s="8">
        <v>1642</v>
      </c>
    </row>
    <row r="37" ht="46" customHeight="1" spans="1:27">
      <c r="A37" t="s">
        <v>224</v>
      </c>
      <c r="B37" t="str">
        <f>_xlfn.DISPIMG("ID_9702A41C65A248908A5C31A8FCDB35AC",1)</f>
        <v>=DISPIMG("ID_9702A41C65A248908A5C31A8FCDB35AC",1)</v>
      </c>
      <c r="C37" t="s">
        <v>225</v>
      </c>
      <c r="D37" t="s">
        <v>224</v>
      </c>
      <c r="E37" s="7">
        <v>149.99</v>
      </c>
      <c r="F37" s="7" t="s">
        <v>36</v>
      </c>
      <c r="G37" s="8" t="s">
        <v>226</v>
      </c>
      <c r="H37">
        <v>500</v>
      </c>
      <c r="I37" s="8">
        <v>47046</v>
      </c>
      <c r="J37" s="9">
        <v>0.00696901376737958</v>
      </c>
      <c r="K37">
        <v>26196</v>
      </c>
      <c r="L37">
        <v>20850</v>
      </c>
      <c r="M37" s="10">
        <v>0.55681676</v>
      </c>
      <c r="N37" s="10">
        <v>0.44318327</v>
      </c>
      <c r="O37" s="9">
        <v>0.29676658</v>
      </c>
      <c r="P37" s="9">
        <v>0.16758613</v>
      </c>
      <c r="Q37" s="9">
        <v>0.12918046</v>
      </c>
      <c r="R37" t="s">
        <v>55</v>
      </c>
      <c r="S37" s="8">
        <v>42</v>
      </c>
      <c r="T37" t="s">
        <v>227</v>
      </c>
      <c r="U37" t="s">
        <v>31</v>
      </c>
      <c r="V37" s="8">
        <v>9</v>
      </c>
      <c r="W37" t="s">
        <v>104</v>
      </c>
      <c r="X37" t="s">
        <v>228</v>
      </c>
      <c r="Y37" s="8">
        <v>4711</v>
      </c>
      <c r="Z37" s="8">
        <v>1867</v>
      </c>
      <c r="AA37" s="8">
        <v>2844</v>
      </c>
    </row>
    <row r="38" ht="46" customHeight="1" spans="1:27">
      <c r="A38" t="s">
        <v>229</v>
      </c>
      <c r="B38" t="str">
        <f>_xlfn.DISPIMG("ID_BAE26EF3E0824ED3BC55CAC0AFD8C2AD",1)</f>
        <v>=DISPIMG("ID_BAE26EF3E0824ED3BC55CAC0AFD8C2AD",1)</v>
      </c>
      <c r="C38" t="s">
        <v>230</v>
      </c>
      <c r="D38" t="s">
        <v>229</v>
      </c>
      <c r="E38" s="7">
        <v>79.99</v>
      </c>
      <c r="F38" s="7" t="s">
        <v>115</v>
      </c>
      <c r="G38" s="8" t="s">
        <v>139</v>
      </c>
      <c r="H38">
        <v>100</v>
      </c>
      <c r="I38" s="8">
        <v>43829</v>
      </c>
      <c r="J38" s="9">
        <v>0.00649247341772902</v>
      </c>
      <c r="K38">
        <v>43829</v>
      </c>
      <c r="L38">
        <v>0</v>
      </c>
      <c r="M38" s="10">
        <v>1</v>
      </c>
      <c r="N38" s="10">
        <v>0</v>
      </c>
      <c r="O38" s="9">
        <v>0.2709272</v>
      </c>
      <c r="P38" s="9">
        <v>0.2709272</v>
      </c>
      <c r="Q38" s="9">
        <v>0</v>
      </c>
      <c r="R38" t="s">
        <v>169</v>
      </c>
      <c r="S38" s="8">
        <v>48</v>
      </c>
      <c r="T38" t="s">
        <v>202</v>
      </c>
      <c r="U38" t="s">
        <v>119</v>
      </c>
      <c r="V38" s="8">
        <v>8</v>
      </c>
      <c r="W38" t="s">
        <v>231</v>
      </c>
      <c r="X38" t="s">
        <v>232</v>
      </c>
      <c r="Y38" s="8">
        <v>1746</v>
      </c>
      <c r="Z38" s="8">
        <v>1697</v>
      </c>
      <c r="AA38" s="8">
        <v>49</v>
      </c>
    </row>
    <row r="39" ht="46" customHeight="1" spans="1:27">
      <c r="A39" t="s">
        <v>233</v>
      </c>
      <c r="B39" t="str">
        <f>_xlfn.DISPIMG("ID_B6C1F9F8FFC94D97BD204A680E72CD53",1)</f>
        <v>=DISPIMG("ID_B6C1F9F8FFC94D97BD204A680E72CD53",1)</v>
      </c>
      <c r="C39" t="s">
        <v>234</v>
      </c>
      <c r="D39" t="s">
        <v>233</v>
      </c>
      <c r="E39" s="7">
        <v>99.99</v>
      </c>
      <c r="F39" s="7" t="s">
        <v>87</v>
      </c>
      <c r="G39" s="8" t="s">
        <v>235</v>
      </c>
      <c r="H39">
        <v>50</v>
      </c>
      <c r="I39" s="8">
        <v>42985</v>
      </c>
      <c r="J39" s="9">
        <v>0.00636745008695343</v>
      </c>
      <c r="K39">
        <v>37077</v>
      </c>
      <c r="L39">
        <v>5908</v>
      </c>
      <c r="M39" s="10">
        <v>0.8625567</v>
      </c>
      <c r="N39" s="10">
        <v>0.13744329</v>
      </c>
      <c r="O39" s="9">
        <v>0.27228814</v>
      </c>
      <c r="P39" s="9">
        <v>0.23567164</v>
      </c>
      <c r="Q39" s="9">
        <v>0.03661653</v>
      </c>
      <c r="R39" t="s">
        <v>38</v>
      </c>
      <c r="S39" s="8">
        <v>30</v>
      </c>
      <c r="T39" t="s">
        <v>236</v>
      </c>
      <c r="U39" t="s">
        <v>31</v>
      </c>
      <c r="V39" s="8">
        <v>2</v>
      </c>
      <c r="W39" t="s">
        <v>39</v>
      </c>
      <c r="X39" t="s">
        <v>237</v>
      </c>
      <c r="Y39" s="8">
        <v>1445</v>
      </c>
      <c r="Z39" s="8">
        <v>1293</v>
      </c>
      <c r="AA39" s="8">
        <v>152</v>
      </c>
    </row>
    <row r="40" ht="46" customHeight="1" spans="1:27">
      <c r="A40" t="s">
        <v>238</v>
      </c>
      <c r="B40" t="str">
        <f>_xlfn.DISPIMG("ID_EBEEEAE7EDA045A4B2DF320A96150927",1)</f>
        <v>=DISPIMG("ID_EBEEEAE7EDA045A4B2DF320A96150927",1)</v>
      </c>
      <c r="C40" t="s">
        <v>239</v>
      </c>
      <c r="D40" t="s">
        <v>238</v>
      </c>
      <c r="E40" s="7">
        <v>152.99</v>
      </c>
      <c r="F40" s="7" t="s">
        <v>107</v>
      </c>
      <c r="G40" s="8" t="s">
        <v>240</v>
      </c>
      <c r="H40">
        <v>300</v>
      </c>
      <c r="I40" s="8">
        <v>41282</v>
      </c>
      <c r="J40" s="9">
        <v>0.00611518144677472</v>
      </c>
      <c r="K40">
        <v>24393</v>
      </c>
      <c r="L40">
        <v>16889</v>
      </c>
      <c r="M40" s="10">
        <v>0.59088707</v>
      </c>
      <c r="N40" s="10">
        <v>0.40911293</v>
      </c>
      <c r="O40" s="9">
        <v>0.26304916</v>
      </c>
      <c r="P40" s="9">
        <v>0.1571665</v>
      </c>
      <c r="Q40" s="9">
        <v>0.10588266</v>
      </c>
      <c r="R40" t="s">
        <v>67</v>
      </c>
      <c r="S40" s="8">
        <v>25</v>
      </c>
      <c r="T40" t="s">
        <v>241</v>
      </c>
      <c r="U40" t="s">
        <v>31</v>
      </c>
      <c r="V40" s="8">
        <v>5</v>
      </c>
      <c r="W40" t="s">
        <v>117</v>
      </c>
      <c r="X40" t="s">
        <v>242</v>
      </c>
      <c r="Y40" s="8">
        <v>2532</v>
      </c>
      <c r="Z40" s="8">
        <v>1400</v>
      </c>
      <c r="AA40" s="8">
        <v>1132</v>
      </c>
    </row>
    <row r="41" ht="46" customHeight="1" spans="1:27">
      <c r="A41" t="s">
        <v>243</v>
      </c>
      <c r="B41" t="str">
        <f>_xlfn.DISPIMG("ID_A7CCEC9E8BF54397B215BFEEC85FB4D0",1)</f>
        <v>=DISPIMG("ID_A7CCEC9E8BF54397B215BFEEC85FB4D0",1)</v>
      </c>
      <c r="C41" t="s">
        <v>244</v>
      </c>
      <c r="D41" t="s">
        <v>243</v>
      </c>
      <c r="E41" s="7">
        <v>96.78</v>
      </c>
      <c r="F41" s="7" t="s">
        <v>36</v>
      </c>
      <c r="G41" s="8" t="s">
        <v>245</v>
      </c>
      <c r="H41">
        <v>500</v>
      </c>
      <c r="I41" s="8">
        <v>39840</v>
      </c>
      <c r="J41" s="9">
        <v>0.00590157523471501</v>
      </c>
      <c r="K41">
        <v>39840</v>
      </c>
      <c r="L41">
        <v>0</v>
      </c>
      <c r="M41" s="10">
        <v>1</v>
      </c>
      <c r="N41" s="10">
        <v>0</v>
      </c>
      <c r="O41" s="9">
        <v>0.24626547</v>
      </c>
      <c r="P41" s="9">
        <v>0.24626547</v>
      </c>
      <c r="Q41" s="9">
        <v>0</v>
      </c>
      <c r="R41" t="s">
        <v>95</v>
      </c>
      <c r="S41" s="8">
        <v>56</v>
      </c>
      <c r="T41" t="s">
        <v>246</v>
      </c>
      <c r="U41" t="s">
        <v>242</v>
      </c>
      <c r="V41" s="8" t="s">
        <v>97</v>
      </c>
      <c r="W41" t="s">
        <v>97</v>
      </c>
      <c r="X41" t="s">
        <v>97</v>
      </c>
      <c r="Y41" s="8">
        <v>1841</v>
      </c>
      <c r="Z41" s="8">
        <v>1841</v>
      </c>
      <c r="AA41" s="8">
        <v>0</v>
      </c>
    </row>
    <row r="42" ht="46" customHeight="1" spans="1:27">
      <c r="A42" t="s">
        <v>247</v>
      </c>
      <c r="B42" t="str">
        <f>_xlfn.DISPIMG("ID_5F011F0A7613447FB525C203BE6F35B5",1)</f>
        <v>=DISPIMG("ID_5F011F0A7613447FB525C203BE6F35B5",1)</v>
      </c>
      <c r="C42" t="s">
        <v>248</v>
      </c>
      <c r="D42" t="s">
        <v>247</v>
      </c>
      <c r="E42" s="7">
        <v>67.99</v>
      </c>
      <c r="F42" s="7" t="s">
        <v>115</v>
      </c>
      <c r="G42" s="8" t="s">
        <v>100</v>
      </c>
      <c r="H42">
        <v>300</v>
      </c>
      <c r="I42" s="8">
        <v>38237</v>
      </c>
      <c r="J42" s="9">
        <v>0.00566411978538649</v>
      </c>
      <c r="K42">
        <v>38237</v>
      </c>
      <c r="L42">
        <v>0</v>
      </c>
      <c r="M42" s="10">
        <v>1</v>
      </c>
      <c r="N42" s="10">
        <v>0</v>
      </c>
      <c r="O42" s="9">
        <v>0.24207981</v>
      </c>
      <c r="P42" s="9">
        <v>0.24207981</v>
      </c>
      <c r="Q42" s="9">
        <v>0</v>
      </c>
      <c r="R42" t="s">
        <v>38</v>
      </c>
      <c r="S42" s="8">
        <v>40</v>
      </c>
      <c r="T42" t="s">
        <v>249</v>
      </c>
      <c r="U42" t="s">
        <v>31</v>
      </c>
      <c r="V42" s="8">
        <v>21</v>
      </c>
      <c r="W42" t="s">
        <v>135</v>
      </c>
      <c r="X42" t="s">
        <v>250</v>
      </c>
      <c r="Y42" s="8">
        <v>1226</v>
      </c>
      <c r="Z42" s="8">
        <v>1210</v>
      </c>
      <c r="AA42" s="8">
        <v>16</v>
      </c>
    </row>
    <row r="43" ht="46" customHeight="1" spans="1:27">
      <c r="A43" t="s">
        <v>251</v>
      </c>
      <c r="B43" t="str">
        <f>_xlfn.DISPIMG("ID_D7479075C0A5447CA7E0F931AA5C3790",1)</f>
        <v>=DISPIMG("ID_D7479075C0A5447CA7E0F931AA5C3790",1)</v>
      </c>
      <c r="C43" t="s">
        <v>252</v>
      </c>
      <c r="D43" t="s">
        <v>251</v>
      </c>
      <c r="E43" s="7">
        <v>59.99</v>
      </c>
      <c r="F43" s="7" t="s">
        <v>107</v>
      </c>
      <c r="G43" s="8" t="s">
        <v>253</v>
      </c>
      <c r="H43">
        <v>50</v>
      </c>
      <c r="I43" s="8">
        <v>38104</v>
      </c>
      <c r="J43" s="9">
        <v>0.00564441824155574</v>
      </c>
      <c r="K43">
        <v>38104</v>
      </c>
      <c r="L43">
        <v>0</v>
      </c>
      <c r="M43" s="10">
        <v>1</v>
      </c>
      <c r="N43" s="10">
        <v>0</v>
      </c>
      <c r="O43" s="9">
        <v>0.23942977</v>
      </c>
      <c r="P43" s="9">
        <v>0.23942977</v>
      </c>
      <c r="Q43" s="9">
        <v>0</v>
      </c>
      <c r="R43" t="s">
        <v>95</v>
      </c>
      <c r="S43" s="8">
        <v>44</v>
      </c>
      <c r="T43" t="s">
        <v>254</v>
      </c>
      <c r="U43" t="s">
        <v>31</v>
      </c>
      <c r="V43" s="8" t="s">
        <v>97</v>
      </c>
      <c r="W43" t="s">
        <v>97</v>
      </c>
      <c r="X43" t="s">
        <v>97</v>
      </c>
      <c r="Y43" s="8">
        <v>1589</v>
      </c>
      <c r="Z43" s="8">
        <v>1583</v>
      </c>
      <c r="AA43" s="8">
        <v>6</v>
      </c>
    </row>
    <row r="44" ht="46" customHeight="1" spans="1:27">
      <c r="A44" t="s">
        <v>255</v>
      </c>
      <c r="B44" t="str">
        <f>_xlfn.DISPIMG("ID_51A9A2CC688F4CAF8780BC4B8FAC5D32",1)</f>
        <v>=DISPIMG("ID_51A9A2CC688F4CAF8780BC4B8FAC5D32",1)</v>
      </c>
      <c r="C44" t="s">
        <v>256</v>
      </c>
      <c r="D44" t="s">
        <v>255</v>
      </c>
      <c r="E44" s="7">
        <v>31.99</v>
      </c>
      <c r="F44" s="7" t="s">
        <v>257</v>
      </c>
      <c r="G44" s="8" t="s">
        <v>258</v>
      </c>
      <c r="H44">
        <v>300</v>
      </c>
      <c r="I44" s="8">
        <v>36970</v>
      </c>
      <c r="J44" s="9">
        <v>0.00547643665731461</v>
      </c>
      <c r="K44">
        <v>36970</v>
      </c>
      <c r="L44">
        <v>0</v>
      </c>
      <c r="M44" s="10">
        <v>1</v>
      </c>
      <c r="N44" s="10">
        <v>0</v>
      </c>
      <c r="O44" s="9">
        <v>0.22853032</v>
      </c>
      <c r="P44" s="9">
        <v>0.22853032</v>
      </c>
      <c r="Q44" s="9">
        <v>0</v>
      </c>
      <c r="R44" t="s">
        <v>95</v>
      </c>
      <c r="S44" s="8">
        <v>67</v>
      </c>
      <c r="T44" t="s">
        <v>259</v>
      </c>
      <c r="U44" t="s">
        <v>260</v>
      </c>
      <c r="V44" s="8" t="s">
        <v>97</v>
      </c>
      <c r="W44" t="s">
        <v>97</v>
      </c>
      <c r="X44" t="s">
        <v>97</v>
      </c>
      <c r="Y44" s="8">
        <v>2026</v>
      </c>
      <c r="Z44" s="8">
        <v>1979</v>
      </c>
      <c r="AA44" s="8">
        <v>47</v>
      </c>
    </row>
    <row r="45" ht="46" customHeight="1" spans="1:27">
      <c r="A45" t="s">
        <v>261</v>
      </c>
      <c r="B45" t="str">
        <f>_xlfn.DISPIMG("ID_A7E86C74ABC94704B54C9326EB9779BB",1)</f>
        <v>=DISPIMG("ID_A7E86C74ABC94704B54C9326EB9779BB",1)</v>
      </c>
      <c r="C45" t="s">
        <v>262</v>
      </c>
      <c r="D45" t="s">
        <v>261</v>
      </c>
      <c r="E45" s="7">
        <v>69.59</v>
      </c>
      <c r="F45" s="7" t="s">
        <v>36</v>
      </c>
      <c r="G45" s="8" t="s">
        <v>263</v>
      </c>
      <c r="H45">
        <v>500</v>
      </c>
      <c r="I45" s="8">
        <v>34564</v>
      </c>
      <c r="J45" s="9">
        <v>0.00512003128545908</v>
      </c>
      <c r="K45">
        <v>32497</v>
      </c>
      <c r="L45">
        <v>2067</v>
      </c>
      <c r="M45" s="10">
        <v>0.9401979</v>
      </c>
      <c r="N45" s="10">
        <v>0.059802108</v>
      </c>
      <c r="O45" s="9">
        <v>0.21362764</v>
      </c>
      <c r="P45" s="9">
        <v>0.20087703</v>
      </c>
      <c r="Q45" s="9">
        <v>0.0127506</v>
      </c>
      <c r="R45" t="s">
        <v>102</v>
      </c>
      <c r="S45" s="8">
        <v>22</v>
      </c>
      <c r="T45" t="s">
        <v>89</v>
      </c>
      <c r="U45" t="s">
        <v>91</v>
      </c>
      <c r="V45" s="8">
        <v>17</v>
      </c>
      <c r="W45" t="s">
        <v>103</v>
      </c>
      <c r="X45" t="s">
        <v>264</v>
      </c>
      <c r="Y45" s="8">
        <v>3352</v>
      </c>
      <c r="Z45" s="8">
        <v>2360</v>
      </c>
      <c r="AA45" s="8">
        <v>992</v>
      </c>
    </row>
    <row r="46" ht="46" customHeight="1" spans="1:27">
      <c r="A46" t="s">
        <v>265</v>
      </c>
      <c r="B46" t="str">
        <f>_xlfn.DISPIMG("ID_BE7FF54AA5EC4E539663AFBF284CBDAD",1)</f>
        <v>=DISPIMG("ID_BE7FF54AA5EC4E539663AFBF284CBDAD",1)</v>
      </c>
      <c r="C46" t="s">
        <v>266</v>
      </c>
      <c r="D46" t="s">
        <v>265</v>
      </c>
      <c r="E46" s="7">
        <v>155.99</v>
      </c>
      <c r="F46" s="7" t="s">
        <v>115</v>
      </c>
      <c r="G46" s="8" t="s">
        <v>139</v>
      </c>
      <c r="H46">
        <v>100</v>
      </c>
      <c r="I46" s="8">
        <v>33065</v>
      </c>
      <c r="J46" s="9">
        <v>0.00489798155461475</v>
      </c>
      <c r="K46">
        <v>32678</v>
      </c>
      <c r="L46">
        <v>387</v>
      </c>
      <c r="M46" s="10">
        <v>0.9882958</v>
      </c>
      <c r="N46" s="10">
        <v>0.011704219</v>
      </c>
      <c r="O46" s="9">
        <v>0.2068764</v>
      </c>
      <c r="P46" s="9">
        <v>0.20419782</v>
      </c>
      <c r="Q46" s="9">
        <v>0.0026785715</v>
      </c>
      <c r="R46" t="s">
        <v>102</v>
      </c>
      <c r="S46" s="8">
        <v>57</v>
      </c>
      <c r="T46" t="s">
        <v>267</v>
      </c>
      <c r="U46" t="s">
        <v>31</v>
      </c>
      <c r="V46" s="8">
        <v>15</v>
      </c>
      <c r="W46" t="s">
        <v>69</v>
      </c>
      <c r="X46" t="s">
        <v>268</v>
      </c>
      <c r="Y46" s="8">
        <v>1826</v>
      </c>
      <c r="Z46" s="8">
        <v>1615</v>
      </c>
      <c r="AA46" s="8">
        <v>211</v>
      </c>
    </row>
    <row r="47" ht="46" customHeight="1" spans="1:27">
      <c r="A47" t="s">
        <v>269</v>
      </c>
      <c r="B47" t="str">
        <f>_xlfn.DISPIMG("ID_08E8A98D52BA4235B435358FBA7C23B2",1)</f>
        <v>=DISPIMG("ID_08E8A98D52BA4235B435358FBA7C23B2",1)</v>
      </c>
      <c r="C47" t="s">
        <v>262</v>
      </c>
      <c r="D47" t="s">
        <v>269</v>
      </c>
      <c r="E47" s="7">
        <v>69.99</v>
      </c>
      <c r="F47" s="7" t="s">
        <v>27</v>
      </c>
      <c r="G47" s="8" t="s">
        <v>270</v>
      </c>
      <c r="H47">
        <v>300</v>
      </c>
      <c r="I47" s="8">
        <v>30619</v>
      </c>
      <c r="J47" s="9">
        <v>0.00453565090641915</v>
      </c>
      <c r="K47">
        <v>30619</v>
      </c>
      <c r="L47">
        <v>0</v>
      </c>
      <c r="M47" s="10">
        <v>1</v>
      </c>
      <c r="N47" s="10">
        <v>0</v>
      </c>
      <c r="O47" s="9">
        <v>0.18926507</v>
      </c>
      <c r="P47" s="9">
        <v>0.18926507</v>
      </c>
      <c r="Q47" s="9">
        <v>0</v>
      </c>
      <c r="R47" t="s">
        <v>95</v>
      </c>
      <c r="S47" s="8">
        <v>37</v>
      </c>
      <c r="T47" t="s">
        <v>271</v>
      </c>
      <c r="U47" t="s">
        <v>198</v>
      </c>
      <c r="V47" s="8" t="s">
        <v>97</v>
      </c>
      <c r="W47" t="s">
        <v>97</v>
      </c>
      <c r="X47" t="s">
        <v>97</v>
      </c>
      <c r="Y47" s="8">
        <v>1031</v>
      </c>
      <c r="Z47" s="8">
        <v>1006</v>
      </c>
      <c r="AA47" s="8">
        <v>25</v>
      </c>
    </row>
    <row r="48" ht="46" customHeight="1" spans="1:27">
      <c r="A48" t="s">
        <v>272</v>
      </c>
      <c r="B48" t="str">
        <f>_xlfn.DISPIMG("ID_0C846BA8CAD04326A9676D135D94F786",1)</f>
        <v>=DISPIMG("ID_0C846BA8CAD04326A9676D135D94F786",1)</v>
      </c>
      <c r="C48" t="s">
        <v>273</v>
      </c>
      <c r="D48" t="s">
        <v>272</v>
      </c>
      <c r="E48" s="7">
        <v>149.99</v>
      </c>
      <c r="F48" s="7" t="s">
        <v>195</v>
      </c>
      <c r="G48" s="8" t="s">
        <v>274</v>
      </c>
      <c r="H48">
        <v>400</v>
      </c>
      <c r="I48" s="8">
        <v>30338</v>
      </c>
      <c r="J48" s="9">
        <v>0.00449402584013012</v>
      </c>
      <c r="K48">
        <v>0</v>
      </c>
      <c r="L48">
        <v>30338</v>
      </c>
      <c r="M48" s="10">
        <v>0</v>
      </c>
      <c r="N48" s="10">
        <v>1</v>
      </c>
      <c r="O48" s="9">
        <v>0.18748006</v>
      </c>
      <c r="P48" s="9">
        <v>0</v>
      </c>
      <c r="Q48" s="9">
        <v>0.18748006</v>
      </c>
      <c r="R48" t="s">
        <v>275</v>
      </c>
      <c r="S48" s="8">
        <v>139</v>
      </c>
      <c r="T48" t="s">
        <v>276</v>
      </c>
      <c r="U48" t="s">
        <v>277</v>
      </c>
      <c r="V48" s="8">
        <v>4</v>
      </c>
      <c r="W48" t="s">
        <v>40</v>
      </c>
      <c r="X48" t="s">
        <v>278</v>
      </c>
      <c r="Y48" s="8">
        <v>2348</v>
      </c>
      <c r="Z48" s="8">
        <v>806</v>
      </c>
      <c r="AA48" s="8">
        <v>1542</v>
      </c>
    </row>
    <row r="49" ht="46" customHeight="1" spans="1:27">
      <c r="A49" t="s">
        <v>279</v>
      </c>
      <c r="B49" t="str">
        <f>_xlfn.DISPIMG("ID_21643E1F95BA4E4099DC0D67C40CD6A7",1)</f>
        <v>=DISPIMG("ID_21643E1F95BA4E4099DC0D67C40CD6A7",1)</v>
      </c>
      <c r="C49" t="s">
        <v>35</v>
      </c>
      <c r="D49" t="s">
        <v>279</v>
      </c>
      <c r="E49" s="7">
        <v>99.74</v>
      </c>
      <c r="F49" s="7" t="s">
        <v>36</v>
      </c>
      <c r="G49" s="8" t="s">
        <v>280</v>
      </c>
      <c r="H49">
        <v>800</v>
      </c>
      <c r="I49" s="8">
        <v>30028</v>
      </c>
      <c r="J49" s="9">
        <v>0.00444810494849454</v>
      </c>
      <c r="K49">
        <v>22027</v>
      </c>
      <c r="L49">
        <v>8001</v>
      </c>
      <c r="M49" s="10">
        <v>0.7335487</v>
      </c>
      <c r="N49" s="10">
        <v>0.2664513</v>
      </c>
      <c r="O49" s="9">
        <v>0.18777396</v>
      </c>
      <c r="P49" s="9">
        <v>0.13798897</v>
      </c>
      <c r="Q49" s="9">
        <v>0.04978499</v>
      </c>
      <c r="R49" t="s">
        <v>60</v>
      </c>
      <c r="S49" s="8">
        <v>56</v>
      </c>
      <c r="T49" t="s">
        <v>246</v>
      </c>
      <c r="U49" t="s">
        <v>31</v>
      </c>
      <c r="V49" s="8">
        <v>4</v>
      </c>
      <c r="W49" t="s">
        <v>40</v>
      </c>
      <c r="X49" t="s">
        <v>281</v>
      </c>
      <c r="Y49" s="8">
        <v>1998</v>
      </c>
      <c r="Z49" s="8">
        <v>1477</v>
      </c>
      <c r="AA49" s="8">
        <v>521</v>
      </c>
    </row>
    <row r="50" ht="46" customHeight="1" spans="1:27">
      <c r="A50" t="s">
        <v>282</v>
      </c>
      <c r="B50" t="str">
        <f>_xlfn.DISPIMG("ID_F0DFA3A4CDB14F6CB4ED09144B60349E",1)</f>
        <v>=DISPIMG("ID_F0DFA3A4CDB14F6CB4ED09144B60349E",1)</v>
      </c>
      <c r="C50" t="s">
        <v>283</v>
      </c>
      <c r="D50" t="s">
        <v>282</v>
      </c>
      <c r="E50" s="7">
        <v>71.95</v>
      </c>
      <c r="F50" s="7" t="s">
        <v>100</v>
      </c>
      <c r="G50" s="8" t="s">
        <v>284</v>
      </c>
      <c r="H50">
        <v>100</v>
      </c>
      <c r="I50" s="8">
        <v>28663</v>
      </c>
      <c r="J50" s="9">
        <v>0.00424590489338947</v>
      </c>
      <c r="K50">
        <v>28523</v>
      </c>
      <c r="L50">
        <v>140</v>
      </c>
      <c r="M50" s="10">
        <v>0.99511564</v>
      </c>
      <c r="N50" s="10">
        <v>0.0048843455</v>
      </c>
      <c r="O50" s="9">
        <v>0.17967801</v>
      </c>
      <c r="P50" s="9">
        <v>0.17881772</v>
      </c>
      <c r="Q50" s="9">
        <v>0.0008602933</v>
      </c>
      <c r="R50" t="s">
        <v>152</v>
      </c>
      <c r="S50" s="8">
        <v>49</v>
      </c>
      <c r="T50" t="s">
        <v>285</v>
      </c>
      <c r="U50" t="s">
        <v>31</v>
      </c>
      <c r="V50" s="8">
        <v>12</v>
      </c>
      <c r="W50" t="s">
        <v>76</v>
      </c>
      <c r="X50" t="s">
        <v>31</v>
      </c>
      <c r="Y50" s="8">
        <v>2000</v>
      </c>
      <c r="Z50" s="8">
        <v>1715</v>
      </c>
      <c r="AA50" s="8">
        <v>285</v>
      </c>
    </row>
    <row r="51" ht="46" customHeight="1" spans="1:27">
      <c r="A51" t="s">
        <v>286</v>
      </c>
      <c r="B51" t="str">
        <f>_xlfn.DISPIMG("ID_E51899A900DA41D79A10885D0A9EB377",1)</f>
        <v>=DISPIMG("ID_E51899A900DA41D79A10885D0A9EB377",1)</v>
      </c>
      <c r="C51" t="s">
        <v>287</v>
      </c>
      <c r="D51" t="s">
        <v>286</v>
      </c>
      <c r="E51" s="7">
        <v>349.99</v>
      </c>
      <c r="F51" s="7" t="s">
        <v>36</v>
      </c>
      <c r="G51" s="8" t="s">
        <v>288</v>
      </c>
      <c r="H51">
        <v>1000</v>
      </c>
      <c r="I51" s="8">
        <v>28459</v>
      </c>
      <c r="J51" s="9">
        <v>0.00421568598405508</v>
      </c>
      <c r="K51">
        <v>28459</v>
      </c>
      <c r="L51">
        <v>0</v>
      </c>
      <c r="M51" s="10">
        <v>1</v>
      </c>
      <c r="N51" s="10">
        <v>0</v>
      </c>
      <c r="O51" s="9">
        <v>0.18048063</v>
      </c>
      <c r="P51" s="9">
        <v>0.18048063</v>
      </c>
      <c r="Q51" s="9">
        <v>0</v>
      </c>
      <c r="R51" t="s">
        <v>95</v>
      </c>
      <c r="S51" s="8">
        <v>63</v>
      </c>
      <c r="T51" t="s">
        <v>140</v>
      </c>
      <c r="U51" t="s">
        <v>31</v>
      </c>
      <c r="V51" s="8" t="s">
        <v>97</v>
      </c>
      <c r="W51" t="s">
        <v>97</v>
      </c>
      <c r="X51" t="s">
        <v>97</v>
      </c>
      <c r="Y51" s="8">
        <v>2882</v>
      </c>
      <c r="Z51" s="8">
        <v>2882</v>
      </c>
      <c r="AA51" s="8">
        <v>0</v>
      </c>
    </row>
    <row r="52" ht="46" customHeight="1" spans="1:27">
      <c r="A52" t="s">
        <v>289</v>
      </c>
      <c r="B52" t="str">
        <f>_xlfn.DISPIMG("ID_95FAEA2783F645B0ACD50A36228F4ABD",1)</f>
        <v>=DISPIMG("ID_95FAEA2783F645B0ACD50A36228F4ABD",1)</v>
      </c>
      <c r="C52" t="s">
        <v>290</v>
      </c>
      <c r="D52" t="s">
        <v>289</v>
      </c>
      <c r="E52" s="7">
        <v>119.99</v>
      </c>
      <c r="F52" s="7" t="s">
        <v>191</v>
      </c>
      <c r="G52" s="8" t="s">
        <v>291</v>
      </c>
      <c r="H52">
        <v>200</v>
      </c>
      <c r="I52" s="8">
        <v>27724</v>
      </c>
      <c r="J52" s="9">
        <v>0.0041068090313062</v>
      </c>
      <c r="K52">
        <v>26617</v>
      </c>
      <c r="L52">
        <v>1107</v>
      </c>
      <c r="M52" s="10">
        <v>0.96007067</v>
      </c>
      <c r="N52" s="10">
        <v>0.039929304</v>
      </c>
      <c r="O52" s="9">
        <v>0.17767395</v>
      </c>
      <c r="P52" s="9">
        <v>0.17077787</v>
      </c>
      <c r="Q52" s="9">
        <v>0.0068960837</v>
      </c>
      <c r="R52" t="s">
        <v>152</v>
      </c>
      <c r="S52" s="8">
        <v>31</v>
      </c>
      <c r="T52" t="s">
        <v>292</v>
      </c>
      <c r="U52" t="s">
        <v>31</v>
      </c>
      <c r="V52" s="8">
        <v>18</v>
      </c>
      <c r="W52" t="s">
        <v>293</v>
      </c>
      <c r="X52" t="s">
        <v>142</v>
      </c>
      <c r="Y52" s="8">
        <v>2284</v>
      </c>
      <c r="Z52" s="8">
        <v>2179</v>
      </c>
      <c r="AA52" s="8">
        <v>105</v>
      </c>
    </row>
    <row r="53" ht="46" customHeight="1" spans="1:27">
      <c r="A53" t="s">
        <v>294</v>
      </c>
      <c r="B53" t="str">
        <f>_xlfn.DISPIMG("ID_F4783C218DA040D3AC7151B203EF78C0",1)</f>
        <v>=DISPIMG("ID_F4783C218DA040D3AC7151B203EF78C0",1)</v>
      </c>
      <c r="C53" t="s">
        <v>295</v>
      </c>
      <c r="D53" t="s">
        <v>294</v>
      </c>
      <c r="E53" s="7">
        <v>59.99</v>
      </c>
      <c r="F53" s="7" t="s">
        <v>36</v>
      </c>
      <c r="G53" s="8" t="s">
        <v>296</v>
      </c>
      <c r="H53">
        <v>200</v>
      </c>
      <c r="I53" s="8">
        <v>26350</v>
      </c>
      <c r="J53" s="9">
        <v>0.00390327578902461</v>
      </c>
      <c r="K53">
        <v>25939</v>
      </c>
      <c r="L53">
        <v>411</v>
      </c>
      <c r="M53" s="10">
        <v>0.9844023</v>
      </c>
      <c r="N53" s="10">
        <v>0.015597723</v>
      </c>
      <c r="O53" s="9">
        <v>0.16717376</v>
      </c>
      <c r="P53" s="9">
        <v>0.1645932</v>
      </c>
      <c r="Q53" s="9">
        <v>0.0025805566</v>
      </c>
      <c r="R53" t="s">
        <v>45</v>
      </c>
      <c r="S53" s="8">
        <v>50</v>
      </c>
      <c r="T53" t="s">
        <v>174</v>
      </c>
      <c r="U53" t="s">
        <v>31</v>
      </c>
      <c r="V53" s="8">
        <v>17</v>
      </c>
      <c r="W53" t="s">
        <v>103</v>
      </c>
      <c r="X53" t="s">
        <v>297</v>
      </c>
      <c r="Y53" s="8">
        <v>2307</v>
      </c>
      <c r="Z53" s="8">
        <v>1669</v>
      </c>
      <c r="AA53" s="8">
        <v>638</v>
      </c>
    </row>
    <row r="54" ht="46" customHeight="1" spans="1:27">
      <c r="A54" t="s">
        <v>298</v>
      </c>
      <c r="B54" t="str">
        <f>_xlfn.DISPIMG("ID_C121845B265A441F9D703C23B2C25C8F",1)</f>
        <v>=DISPIMG("ID_C121845B265A441F9D703C23B2C25C8F",1)</v>
      </c>
      <c r="C54" t="s">
        <v>299</v>
      </c>
      <c r="D54" t="s">
        <v>298</v>
      </c>
      <c r="E54" s="7">
        <v>89.99</v>
      </c>
      <c r="F54" s="7" t="s">
        <v>36</v>
      </c>
      <c r="G54" s="8" t="s">
        <v>300</v>
      </c>
      <c r="H54">
        <v>200</v>
      </c>
      <c r="I54" s="8">
        <v>25545</v>
      </c>
      <c r="J54" s="9">
        <v>0.0037840296026806</v>
      </c>
      <c r="K54">
        <v>17892</v>
      </c>
      <c r="L54">
        <v>7653</v>
      </c>
      <c r="M54" s="10">
        <v>0.700411</v>
      </c>
      <c r="N54" s="10">
        <v>0.29958895</v>
      </c>
      <c r="O54" s="9">
        <v>0.159489</v>
      </c>
      <c r="P54" s="9">
        <v>0.11219413</v>
      </c>
      <c r="Q54" s="9">
        <v>0.047294877</v>
      </c>
      <c r="R54" t="s">
        <v>38</v>
      </c>
      <c r="S54" s="8">
        <v>76</v>
      </c>
      <c r="T54" t="s">
        <v>301</v>
      </c>
      <c r="U54" t="s">
        <v>31</v>
      </c>
      <c r="V54" s="8">
        <v>11</v>
      </c>
      <c r="W54" t="s">
        <v>46</v>
      </c>
      <c r="X54" t="s">
        <v>198</v>
      </c>
      <c r="Y54" s="8">
        <v>2398</v>
      </c>
      <c r="Z54" s="8">
        <v>2086</v>
      </c>
      <c r="AA54" s="8">
        <v>312</v>
      </c>
    </row>
    <row r="55" ht="46" customHeight="1" spans="1:27">
      <c r="A55" t="s">
        <v>302</v>
      </c>
      <c r="B55" t="str">
        <f>_xlfn.DISPIMG("ID_C4A2C6EB82834BC880D22D590C56281D",1)</f>
        <v>=DISPIMG("ID_C4A2C6EB82834BC880D22D590C56281D",1)</v>
      </c>
      <c r="C55" t="s">
        <v>303</v>
      </c>
      <c r="D55" t="s">
        <v>302</v>
      </c>
      <c r="E55" s="7">
        <v>279</v>
      </c>
      <c r="F55" s="7" t="s">
        <v>65</v>
      </c>
      <c r="G55" s="8" t="s">
        <v>304</v>
      </c>
      <c r="H55">
        <v>500</v>
      </c>
      <c r="I55" s="8">
        <v>25477</v>
      </c>
      <c r="J55" s="9">
        <v>0.00377395663290247</v>
      </c>
      <c r="K55">
        <v>22626</v>
      </c>
      <c r="L55">
        <v>2851</v>
      </c>
      <c r="M55" s="10">
        <v>0.88809514</v>
      </c>
      <c r="N55" s="10">
        <v>0.11190485</v>
      </c>
      <c r="O55" s="9">
        <v>0.15744396</v>
      </c>
      <c r="P55" s="9">
        <v>0.13985467</v>
      </c>
      <c r="Q55" s="9">
        <v>0.017589286</v>
      </c>
      <c r="R55" t="s">
        <v>60</v>
      </c>
      <c r="S55" s="8">
        <v>40</v>
      </c>
      <c r="T55" t="s">
        <v>249</v>
      </c>
      <c r="U55" t="s">
        <v>184</v>
      </c>
      <c r="V55" s="8">
        <v>17</v>
      </c>
      <c r="W55" t="s">
        <v>103</v>
      </c>
      <c r="X55" t="s">
        <v>305</v>
      </c>
      <c r="Y55" s="8">
        <v>3608</v>
      </c>
      <c r="Z55" s="8">
        <v>2495</v>
      </c>
      <c r="AA55" s="8">
        <v>1113</v>
      </c>
    </row>
    <row r="56" ht="46" customHeight="1" spans="1:27">
      <c r="A56" t="s">
        <v>306</v>
      </c>
      <c r="B56" t="str">
        <f>_xlfn.DISPIMG("ID_557571A732FD43E685306C1A9E6DC87C",1)</f>
        <v>=DISPIMG("ID_557571A732FD43E685306C1A9E6DC87C",1)</v>
      </c>
      <c r="C56" t="s">
        <v>307</v>
      </c>
      <c r="D56" t="s">
        <v>306</v>
      </c>
      <c r="E56" s="7">
        <v>75.99</v>
      </c>
      <c r="F56" s="7" t="s">
        <v>115</v>
      </c>
      <c r="G56" s="8" t="s">
        <v>115</v>
      </c>
      <c r="H56">
        <v>0</v>
      </c>
      <c r="I56" s="8">
        <v>24989</v>
      </c>
      <c r="J56" s="9">
        <v>0.00370166826155355</v>
      </c>
      <c r="K56">
        <v>18420</v>
      </c>
      <c r="L56">
        <v>6569</v>
      </c>
      <c r="M56" s="10">
        <v>0.7371243</v>
      </c>
      <c r="N56" s="10">
        <v>0.26287568</v>
      </c>
      <c r="O56" s="9">
        <v>0.15724565</v>
      </c>
      <c r="P56" s="9">
        <v>0.115481645</v>
      </c>
      <c r="Q56" s="9">
        <v>0.041764006</v>
      </c>
      <c r="R56" t="s">
        <v>67</v>
      </c>
      <c r="S56" s="8">
        <v>66</v>
      </c>
      <c r="T56" t="s">
        <v>308</v>
      </c>
      <c r="U56" t="s">
        <v>31</v>
      </c>
      <c r="V56" s="8">
        <v>8</v>
      </c>
      <c r="W56" t="s">
        <v>147</v>
      </c>
      <c r="X56" t="s">
        <v>309</v>
      </c>
      <c r="Y56" s="8">
        <v>1073</v>
      </c>
      <c r="Z56" s="8">
        <v>576</v>
      </c>
      <c r="AA56" s="8">
        <v>497</v>
      </c>
    </row>
    <row r="57" ht="46" customHeight="1" spans="1:27">
      <c r="A57" t="s">
        <v>310</v>
      </c>
      <c r="B57" t="str">
        <f>_xlfn.DISPIMG("ID_76D1BCB1B1CE4119BAB08E2E311F8678",1)</f>
        <v>=DISPIMG("ID_76D1BCB1B1CE4119BAB08E2E311F8678",1)</v>
      </c>
      <c r="C57" t="s">
        <v>311</v>
      </c>
      <c r="D57" t="s">
        <v>310</v>
      </c>
      <c r="E57" s="7">
        <v>56.99</v>
      </c>
      <c r="F57" s="7" t="s">
        <v>191</v>
      </c>
      <c r="G57" s="8" t="s">
        <v>312</v>
      </c>
      <c r="H57">
        <v>0</v>
      </c>
      <c r="I57" s="8">
        <v>24777</v>
      </c>
      <c r="J57" s="9">
        <v>0.00367026429695115</v>
      </c>
      <c r="K57">
        <v>24777</v>
      </c>
      <c r="L57">
        <v>0</v>
      </c>
      <c r="M57" s="10">
        <v>1</v>
      </c>
      <c r="N57" s="10">
        <v>0</v>
      </c>
      <c r="O57" s="9">
        <v>0.15501319</v>
      </c>
      <c r="P57" s="9">
        <v>0.15501319</v>
      </c>
      <c r="Q57" s="9">
        <v>0</v>
      </c>
      <c r="R57" t="s">
        <v>152</v>
      </c>
      <c r="S57" s="8">
        <v>64</v>
      </c>
      <c r="T57" t="s">
        <v>313</v>
      </c>
      <c r="U57" t="s">
        <v>31</v>
      </c>
      <c r="V57" s="8">
        <v>20</v>
      </c>
      <c r="W57" t="s">
        <v>135</v>
      </c>
      <c r="X57" t="s">
        <v>314</v>
      </c>
      <c r="Y57" s="8">
        <v>1721</v>
      </c>
      <c r="Z57" s="8">
        <v>1483</v>
      </c>
      <c r="AA57" s="8">
        <v>238</v>
      </c>
    </row>
    <row r="58" ht="46" customHeight="1" spans="1:27">
      <c r="A58" t="s">
        <v>315</v>
      </c>
      <c r="B58" t="str">
        <f>_xlfn.DISPIMG("ID_BB444098A35A4D45849300BCC36D149D",1)</f>
        <v>=DISPIMG("ID_BB444098A35A4D45849300BCC36D149D",1)</v>
      </c>
      <c r="C58" t="s">
        <v>316</v>
      </c>
      <c r="D58" t="s">
        <v>315</v>
      </c>
      <c r="E58" s="7">
        <v>152.99</v>
      </c>
      <c r="F58" s="7" t="s">
        <v>115</v>
      </c>
      <c r="G58" s="8" t="s">
        <v>317</v>
      </c>
      <c r="H58">
        <v>200</v>
      </c>
      <c r="I58" s="8">
        <v>23709</v>
      </c>
      <c r="J58" s="9">
        <v>0.00351205941867114</v>
      </c>
      <c r="K58">
        <v>4299</v>
      </c>
      <c r="L58">
        <v>19410</v>
      </c>
      <c r="M58" s="10">
        <v>0.18132354</v>
      </c>
      <c r="N58" s="10">
        <v>0.8186765</v>
      </c>
      <c r="O58" s="9">
        <v>0.15009259</v>
      </c>
      <c r="P58" s="9">
        <v>0.026844334</v>
      </c>
      <c r="Q58" s="9">
        <v>0.123248264</v>
      </c>
      <c r="R58" t="s">
        <v>67</v>
      </c>
      <c r="S58" s="8">
        <v>131</v>
      </c>
      <c r="T58" t="s">
        <v>318</v>
      </c>
      <c r="U58" t="s">
        <v>31</v>
      </c>
      <c r="V58" s="8">
        <v>7</v>
      </c>
      <c r="W58" t="s">
        <v>111</v>
      </c>
      <c r="X58" t="s">
        <v>31</v>
      </c>
      <c r="Y58" s="8">
        <v>1640</v>
      </c>
      <c r="Z58" s="8">
        <v>553</v>
      </c>
      <c r="AA58" s="8">
        <v>1087</v>
      </c>
    </row>
    <row r="59" ht="46" customHeight="1" spans="1:27">
      <c r="A59" t="s">
        <v>319</v>
      </c>
      <c r="B59" t="str">
        <f>_xlfn.DISPIMG("ID_12B43AC6B61345B0A055D98161D72C32",1)</f>
        <v>=DISPIMG("ID_12B43AC6B61345B0A055D98161D72C32",1)</v>
      </c>
      <c r="C59" t="s">
        <v>320</v>
      </c>
      <c r="D59" t="s">
        <v>319</v>
      </c>
      <c r="E59" s="7">
        <v>145.99</v>
      </c>
      <c r="F59" s="7" t="s">
        <v>195</v>
      </c>
      <c r="G59" s="8" t="s">
        <v>122</v>
      </c>
      <c r="H59">
        <v>50</v>
      </c>
      <c r="I59" s="8">
        <v>22901</v>
      </c>
      <c r="J59" s="9">
        <v>0.00339236883660162</v>
      </c>
      <c r="K59">
        <v>0</v>
      </c>
      <c r="L59">
        <v>22901</v>
      </c>
      <c r="M59" s="10">
        <v>0</v>
      </c>
      <c r="N59" s="10">
        <v>1</v>
      </c>
      <c r="O59" s="9">
        <v>0.1415625</v>
      </c>
      <c r="P59" s="9">
        <v>0</v>
      </c>
      <c r="Q59" s="9">
        <v>0.1415625</v>
      </c>
      <c r="R59" t="s">
        <v>321</v>
      </c>
      <c r="S59" s="8" t="s">
        <v>97</v>
      </c>
      <c r="T59" t="s">
        <v>97</v>
      </c>
      <c r="U59" t="s">
        <v>97</v>
      </c>
      <c r="V59" s="8" t="s">
        <v>97</v>
      </c>
      <c r="W59" t="s">
        <v>97</v>
      </c>
      <c r="X59" t="s">
        <v>97</v>
      </c>
      <c r="Y59" s="8">
        <v>964</v>
      </c>
      <c r="Z59" s="8">
        <v>74</v>
      </c>
      <c r="AA59" s="8">
        <v>890</v>
      </c>
    </row>
    <row r="60" ht="46" customHeight="1" spans="1:27">
      <c r="A60" t="s">
        <v>322</v>
      </c>
      <c r="B60" t="str">
        <f>_xlfn.DISPIMG("ID_99838C7615E94D048CCEB6CBB2BC0D04",1)</f>
        <v>=DISPIMG("ID_99838C7615E94D048CCEB6CBB2BC0D04",1)</v>
      </c>
      <c r="C60" t="s">
        <v>323</v>
      </c>
      <c r="D60" t="s">
        <v>322</v>
      </c>
      <c r="E60" s="7">
        <v>62.99</v>
      </c>
      <c r="F60" s="7" t="s">
        <v>128</v>
      </c>
      <c r="G60" s="8" t="s">
        <v>324</v>
      </c>
      <c r="H60">
        <v>0</v>
      </c>
      <c r="I60" s="8">
        <v>22288</v>
      </c>
      <c r="J60" s="9">
        <v>0.00330156397668996</v>
      </c>
      <c r="K60">
        <v>16023</v>
      </c>
      <c r="L60">
        <v>6265</v>
      </c>
      <c r="M60" s="10">
        <v>0.71890706</v>
      </c>
      <c r="N60" s="10">
        <v>0.28109297</v>
      </c>
      <c r="O60" s="9">
        <v>0.14502025</v>
      </c>
      <c r="P60" s="9">
        <v>0.10454714</v>
      </c>
      <c r="Q60" s="9">
        <v>0.040473096</v>
      </c>
      <c r="R60" t="s">
        <v>38</v>
      </c>
      <c r="S60" s="8">
        <v>21</v>
      </c>
      <c r="T60" t="s">
        <v>325</v>
      </c>
      <c r="U60" t="s">
        <v>31</v>
      </c>
      <c r="V60" s="8">
        <v>14</v>
      </c>
      <c r="W60" t="s">
        <v>174</v>
      </c>
      <c r="X60" t="s">
        <v>326</v>
      </c>
      <c r="Y60" s="8">
        <v>1651</v>
      </c>
      <c r="Z60" s="8">
        <v>1204</v>
      </c>
      <c r="AA60" s="8">
        <v>447</v>
      </c>
    </row>
    <row r="61" ht="46" customHeight="1" spans="1:27">
      <c r="A61" t="s">
        <v>327</v>
      </c>
      <c r="B61" t="str">
        <f>_xlfn.DISPIMG("ID_B52099F47A83400C8E944850D7C4F725",1)</f>
        <v>=DISPIMG("ID_B52099F47A83400C8E944850D7C4F725",1)</v>
      </c>
      <c r="C61" t="s">
        <v>328</v>
      </c>
      <c r="D61" t="s">
        <v>327</v>
      </c>
      <c r="E61" s="7">
        <v>86</v>
      </c>
      <c r="F61" s="7" t="s">
        <v>27</v>
      </c>
      <c r="G61" s="8" t="s">
        <v>329</v>
      </c>
      <c r="H61">
        <v>200</v>
      </c>
      <c r="I61" s="8">
        <v>22180</v>
      </c>
      <c r="J61" s="9">
        <v>0.00328556573057176</v>
      </c>
      <c r="K61">
        <v>16250</v>
      </c>
      <c r="L61">
        <v>5930</v>
      </c>
      <c r="M61" s="10">
        <v>0.732642</v>
      </c>
      <c r="N61" s="10">
        <v>0.26735798</v>
      </c>
      <c r="O61" s="9">
        <v>0.13873667</v>
      </c>
      <c r="P61" s="9">
        <v>0.10209389</v>
      </c>
      <c r="Q61" s="9">
        <v>0.036642782</v>
      </c>
      <c r="R61" t="s">
        <v>38</v>
      </c>
      <c r="S61" s="8">
        <v>70</v>
      </c>
      <c r="T61" t="s">
        <v>330</v>
      </c>
      <c r="U61" t="s">
        <v>31</v>
      </c>
      <c r="V61" s="8">
        <v>10</v>
      </c>
      <c r="W61" t="s">
        <v>118</v>
      </c>
      <c r="X61" t="s">
        <v>331</v>
      </c>
      <c r="Y61" s="8">
        <v>1500</v>
      </c>
      <c r="Z61" s="8">
        <v>1335</v>
      </c>
      <c r="AA61" s="8">
        <v>165</v>
      </c>
    </row>
    <row r="62" ht="46" customHeight="1" spans="1:27">
      <c r="A62" t="s">
        <v>332</v>
      </c>
      <c r="B62" t="str">
        <f>_xlfn.DISPIMG("ID_B56D677792F84195A9E2835949D9878A",1)</f>
        <v>=DISPIMG("ID_B56D677792F84195A9E2835949D9878A",1)</v>
      </c>
      <c r="C62" t="s">
        <v>333</v>
      </c>
      <c r="D62" t="s">
        <v>332</v>
      </c>
      <c r="E62" s="7">
        <v>79.99</v>
      </c>
      <c r="F62" s="7" t="s">
        <v>87</v>
      </c>
      <c r="G62" s="8" t="s">
        <v>173</v>
      </c>
      <c r="H62">
        <v>800</v>
      </c>
      <c r="I62" s="8">
        <v>20043</v>
      </c>
      <c r="J62" s="9">
        <v>0.00296900784210324</v>
      </c>
      <c r="K62">
        <v>12594</v>
      </c>
      <c r="L62">
        <v>7449</v>
      </c>
      <c r="M62" s="10">
        <v>0.62834907</v>
      </c>
      <c r="N62" s="10">
        <v>0.37165096</v>
      </c>
      <c r="O62" s="9">
        <v>0.13215579</v>
      </c>
      <c r="P62" s="9">
        <v>0.08442122</v>
      </c>
      <c r="Q62" s="9">
        <v>0.047734573</v>
      </c>
      <c r="R62" t="s">
        <v>67</v>
      </c>
      <c r="S62" s="8">
        <v>9</v>
      </c>
      <c r="T62" t="s">
        <v>104</v>
      </c>
      <c r="U62" t="s">
        <v>334</v>
      </c>
      <c r="V62" s="8">
        <v>7</v>
      </c>
      <c r="W62" t="s">
        <v>111</v>
      </c>
      <c r="X62" t="s">
        <v>335</v>
      </c>
      <c r="Y62" s="8">
        <v>3832</v>
      </c>
      <c r="Z62" s="8">
        <v>2623</v>
      </c>
      <c r="AA62" s="8">
        <v>1209</v>
      </c>
    </row>
    <row r="63" ht="46" customHeight="1" spans="1:27">
      <c r="A63" t="s">
        <v>336</v>
      </c>
      <c r="B63" t="str">
        <f>_xlfn.DISPIMG("ID_32B2A524AFF84E0E98827914009CCECC",1)</f>
        <v>=DISPIMG("ID_32B2A524AFF84E0E98827914009CCECC",1)</v>
      </c>
      <c r="C63" t="s">
        <v>337</v>
      </c>
      <c r="D63" t="s">
        <v>336</v>
      </c>
      <c r="E63" s="7">
        <v>189.99</v>
      </c>
      <c r="F63" s="7" t="s">
        <v>27</v>
      </c>
      <c r="G63" s="8" t="s">
        <v>201</v>
      </c>
      <c r="H63">
        <v>0</v>
      </c>
      <c r="I63" s="8">
        <v>19828</v>
      </c>
      <c r="J63" s="9">
        <v>0.00293715948177533</v>
      </c>
      <c r="K63">
        <v>16924</v>
      </c>
      <c r="L63">
        <v>2904</v>
      </c>
      <c r="M63" s="10">
        <v>0.8535404</v>
      </c>
      <c r="N63" s="10">
        <v>0.14645955</v>
      </c>
      <c r="O63" s="9">
        <v>0.12410893</v>
      </c>
      <c r="P63" s="9">
        <v>0.10616431</v>
      </c>
      <c r="Q63" s="9">
        <v>0.017944627</v>
      </c>
      <c r="R63" t="s">
        <v>38</v>
      </c>
      <c r="S63" s="8">
        <v>78</v>
      </c>
      <c r="T63" t="s">
        <v>338</v>
      </c>
      <c r="U63" t="s">
        <v>31</v>
      </c>
      <c r="V63" s="8">
        <v>10</v>
      </c>
      <c r="W63" t="s">
        <v>118</v>
      </c>
      <c r="X63" t="s">
        <v>131</v>
      </c>
      <c r="Y63" s="8">
        <v>1546</v>
      </c>
      <c r="Z63" s="8">
        <v>825</v>
      </c>
      <c r="AA63" s="8">
        <v>721</v>
      </c>
    </row>
    <row r="64" ht="46" customHeight="1" spans="1:27">
      <c r="A64" t="s">
        <v>339</v>
      </c>
      <c r="B64" t="str">
        <f>_xlfn.DISPIMG("ID_BBE76D8E332C44638DDC291F9B2FF12D",1)</f>
        <v>=DISPIMG("ID_BBE76D8E332C44638DDC291F9B2FF12D",1)</v>
      </c>
      <c r="C64" t="s">
        <v>340</v>
      </c>
      <c r="D64" t="s">
        <v>339</v>
      </c>
      <c r="E64" s="7">
        <v>469.99</v>
      </c>
      <c r="F64" s="7" t="s">
        <v>195</v>
      </c>
      <c r="G64" s="8" t="s">
        <v>341</v>
      </c>
      <c r="H64">
        <v>1000</v>
      </c>
      <c r="I64" s="8">
        <v>19246</v>
      </c>
      <c r="J64" s="9">
        <v>0.00285094671102724</v>
      </c>
      <c r="K64">
        <v>19246</v>
      </c>
      <c r="L64">
        <v>0</v>
      </c>
      <c r="M64" s="10">
        <v>1</v>
      </c>
      <c r="N64" s="10">
        <v>0</v>
      </c>
      <c r="O64" s="9">
        <v>0.12176603</v>
      </c>
      <c r="P64" s="9">
        <v>0.12176603</v>
      </c>
      <c r="Q64" s="9">
        <v>0</v>
      </c>
      <c r="R64" t="s">
        <v>95</v>
      </c>
      <c r="S64" s="8">
        <v>46</v>
      </c>
      <c r="T64" t="s">
        <v>192</v>
      </c>
      <c r="U64" t="s">
        <v>70</v>
      </c>
      <c r="V64" s="8" t="s">
        <v>97</v>
      </c>
      <c r="W64" t="s">
        <v>97</v>
      </c>
      <c r="X64" t="s">
        <v>97</v>
      </c>
      <c r="Y64" s="8">
        <v>3170</v>
      </c>
      <c r="Z64" s="8">
        <v>3170</v>
      </c>
      <c r="AA64" s="8">
        <v>0</v>
      </c>
    </row>
    <row r="65" ht="46" customHeight="1" spans="1:27">
      <c r="A65" t="s">
        <v>342</v>
      </c>
      <c r="B65" t="str">
        <f>_xlfn.DISPIMG("ID_4B2C5FDBFE324FB0BC5E9F145CBC9E73",1)</f>
        <v>=DISPIMG("ID_4B2C5FDBFE324FB0BC5E9F145CBC9E73",1)</v>
      </c>
      <c r="C65" t="s">
        <v>343</v>
      </c>
      <c r="D65" t="s">
        <v>342</v>
      </c>
      <c r="E65" s="7">
        <v>59.99</v>
      </c>
      <c r="F65" s="7" t="s">
        <v>115</v>
      </c>
      <c r="G65" s="8" t="s">
        <v>344</v>
      </c>
      <c r="H65">
        <v>100</v>
      </c>
      <c r="I65" s="8">
        <v>18897</v>
      </c>
      <c r="J65" s="9">
        <v>0.00279924867496008</v>
      </c>
      <c r="K65">
        <v>15597</v>
      </c>
      <c r="L65">
        <v>3300</v>
      </c>
      <c r="M65" s="10">
        <v>0.8253691</v>
      </c>
      <c r="N65" s="10">
        <v>0.1746309</v>
      </c>
      <c r="O65" s="9">
        <v>0.11934291</v>
      </c>
      <c r="P65" s="9">
        <v>0.097870864</v>
      </c>
      <c r="Q65" s="9">
        <v>0.021472046</v>
      </c>
      <c r="R65" t="s">
        <v>152</v>
      </c>
      <c r="S65" s="8">
        <v>89</v>
      </c>
      <c r="T65" t="s">
        <v>345</v>
      </c>
      <c r="U65" t="s">
        <v>31</v>
      </c>
      <c r="V65" s="8">
        <v>10</v>
      </c>
      <c r="W65" t="s">
        <v>346</v>
      </c>
      <c r="X65" t="s">
        <v>347</v>
      </c>
      <c r="Y65" s="8">
        <v>1157</v>
      </c>
      <c r="Z65" s="8">
        <v>838</v>
      </c>
      <c r="AA65" s="8">
        <v>319</v>
      </c>
    </row>
    <row r="66" ht="46" customHeight="1" spans="1:27">
      <c r="A66" t="s">
        <v>348</v>
      </c>
      <c r="B66" t="str">
        <f>_xlfn.DISPIMG("ID_CABB8413141D4372BEDD339BAF5D97D8",1)</f>
        <v>=DISPIMG("ID_CABB8413141D4372BEDD339BAF5D97D8",1)</v>
      </c>
      <c r="C66" t="s">
        <v>349</v>
      </c>
      <c r="D66" t="s">
        <v>348</v>
      </c>
      <c r="E66" s="7">
        <v>119.99</v>
      </c>
      <c r="F66" s="7" t="s">
        <v>115</v>
      </c>
      <c r="G66" s="8" t="s">
        <v>350</v>
      </c>
      <c r="H66">
        <v>300</v>
      </c>
      <c r="I66" s="8">
        <v>18871</v>
      </c>
      <c r="J66" s="9">
        <v>0.00279539724533903</v>
      </c>
      <c r="K66">
        <v>18871</v>
      </c>
      <c r="L66">
        <v>0</v>
      </c>
      <c r="M66" s="10">
        <v>1</v>
      </c>
      <c r="N66" s="10">
        <v>0</v>
      </c>
      <c r="O66" s="9">
        <v>0.118377425</v>
      </c>
      <c r="P66" s="9">
        <v>0.118377425</v>
      </c>
      <c r="Q66" s="9">
        <v>0</v>
      </c>
      <c r="R66" t="s">
        <v>95</v>
      </c>
      <c r="S66" s="8">
        <v>60</v>
      </c>
      <c r="T66" t="s">
        <v>351</v>
      </c>
      <c r="U66" t="s">
        <v>334</v>
      </c>
      <c r="V66" s="8" t="s">
        <v>97</v>
      </c>
      <c r="W66" t="s">
        <v>97</v>
      </c>
      <c r="X66" t="s">
        <v>97</v>
      </c>
      <c r="Y66" s="8">
        <v>2254</v>
      </c>
      <c r="Z66" s="8">
        <v>2231</v>
      </c>
      <c r="AA66" s="8">
        <v>23</v>
      </c>
    </row>
    <row r="67" ht="46" customHeight="1" spans="1:27">
      <c r="A67" t="s">
        <v>352</v>
      </c>
      <c r="B67" t="str">
        <f>_xlfn.DISPIMG("ID_021D14F464FA47DEA68B202FCCA4A844",1)</f>
        <v>=DISPIMG("ID_021D14F464FA47DEA68B202FCCA4A844",1)</v>
      </c>
      <c r="C67" t="s">
        <v>353</v>
      </c>
      <c r="D67" t="s">
        <v>352</v>
      </c>
      <c r="E67" s="7">
        <v>349</v>
      </c>
      <c r="F67" s="7" t="s">
        <v>36</v>
      </c>
      <c r="G67" s="8" t="s">
        <v>354</v>
      </c>
      <c r="H67">
        <v>2000</v>
      </c>
      <c r="I67" s="8">
        <v>18587</v>
      </c>
      <c r="J67" s="9">
        <v>0.00275332778332449</v>
      </c>
      <c r="K67">
        <v>18587</v>
      </c>
      <c r="L67">
        <v>0</v>
      </c>
      <c r="M67" s="10">
        <v>1</v>
      </c>
      <c r="N67" s="10">
        <v>0</v>
      </c>
      <c r="O67" s="9">
        <v>0.11488725</v>
      </c>
      <c r="P67" s="9">
        <v>0.11488725</v>
      </c>
      <c r="Q67" s="9">
        <v>0</v>
      </c>
      <c r="R67" t="s">
        <v>95</v>
      </c>
      <c r="S67" s="8">
        <v>41</v>
      </c>
      <c r="T67" t="s">
        <v>355</v>
      </c>
      <c r="U67" t="s">
        <v>356</v>
      </c>
      <c r="V67" s="8" t="s">
        <v>97</v>
      </c>
      <c r="W67" t="s">
        <v>97</v>
      </c>
      <c r="X67" t="s">
        <v>97</v>
      </c>
      <c r="Y67" s="8">
        <v>3094</v>
      </c>
      <c r="Z67" s="8">
        <v>3094</v>
      </c>
      <c r="AA67" s="8">
        <v>0</v>
      </c>
    </row>
    <row r="68" ht="46" customHeight="1" spans="1:27">
      <c r="A68" t="s">
        <v>357</v>
      </c>
      <c r="B68" t="str">
        <f>_xlfn.DISPIMG("ID_53E471A1F59C453C89964CECF564D957",1)</f>
        <v>=DISPIMG("ID_53E471A1F59C453C89964CECF564D957",1)</v>
      </c>
      <c r="C68" t="s">
        <v>358</v>
      </c>
      <c r="D68" t="s">
        <v>357</v>
      </c>
      <c r="E68" s="7">
        <v>69.99</v>
      </c>
      <c r="F68" s="7" t="s">
        <v>115</v>
      </c>
      <c r="G68" s="8" t="s">
        <v>100</v>
      </c>
      <c r="H68">
        <v>0</v>
      </c>
      <c r="I68" s="8">
        <v>18056</v>
      </c>
      <c r="J68" s="9">
        <v>0.00267466973990999</v>
      </c>
      <c r="K68">
        <v>18056</v>
      </c>
      <c r="L68">
        <v>0</v>
      </c>
      <c r="M68" s="10">
        <v>1</v>
      </c>
      <c r="N68" s="10">
        <v>0</v>
      </c>
      <c r="O68" s="9">
        <v>0.111639135</v>
      </c>
      <c r="P68" s="9">
        <v>0.111639135</v>
      </c>
      <c r="Q68" s="9">
        <v>0</v>
      </c>
      <c r="R68" t="s">
        <v>95</v>
      </c>
      <c r="S68" s="8">
        <v>138</v>
      </c>
      <c r="T68" t="s">
        <v>276</v>
      </c>
      <c r="U68" t="s">
        <v>31</v>
      </c>
      <c r="V68" s="8" t="s">
        <v>97</v>
      </c>
      <c r="W68" t="s">
        <v>97</v>
      </c>
      <c r="X68" t="s">
        <v>97</v>
      </c>
      <c r="Y68" s="8">
        <v>1319</v>
      </c>
      <c r="Z68" s="8">
        <v>1319</v>
      </c>
      <c r="AA68" s="8">
        <v>0</v>
      </c>
    </row>
    <row r="69" ht="46" customHeight="1" spans="1:27">
      <c r="A69" t="s">
        <v>359</v>
      </c>
      <c r="B69" t="str">
        <f>_xlfn.DISPIMG("ID_C9261AF25C894F93AF6B444F2062AF72",1)</f>
        <v>=DISPIMG("ID_C9261AF25C894F93AF6B444F2062AF72",1)</v>
      </c>
      <c r="C69" t="s">
        <v>360</v>
      </c>
      <c r="D69" t="s">
        <v>359</v>
      </c>
      <c r="E69" s="7">
        <v>129</v>
      </c>
      <c r="F69" s="7" t="s">
        <v>128</v>
      </c>
      <c r="G69" s="8" t="s">
        <v>361</v>
      </c>
      <c r="H69">
        <v>1000</v>
      </c>
      <c r="I69" s="8">
        <v>17878</v>
      </c>
      <c r="J69" s="9">
        <v>0.00264830226019666</v>
      </c>
      <c r="K69">
        <v>17878</v>
      </c>
      <c r="L69">
        <v>0</v>
      </c>
      <c r="M69" s="10">
        <v>1</v>
      </c>
      <c r="N69" s="10">
        <v>0</v>
      </c>
      <c r="O69" s="9">
        <v>0.11255386</v>
      </c>
      <c r="P69" s="9">
        <v>0.11255386</v>
      </c>
      <c r="Q69" s="9">
        <v>0</v>
      </c>
      <c r="R69" t="s">
        <v>362</v>
      </c>
      <c r="S69" s="8">
        <v>62</v>
      </c>
      <c r="T69" t="s">
        <v>363</v>
      </c>
      <c r="U69" t="s">
        <v>31</v>
      </c>
      <c r="V69" s="8">
        <v>10</v>
      </c>
      <c r="W69" t="s">
        <v>118</v>
      </c>
      <c r="X69" t="s">
        <v>364</v>
      </c>
      <c r="Y69" s="8">
        <v>3005</v>
      </c>
      <c r="Z69" s="8">
        <v>2782</v>
      </c>
      <c r="AA69" s="8">
        <v>223</v>
      </c>
    </row>
    <row r="70" ht="46" customHeight="1" spans="1:27">
      <c r="A70" t="s">
        <v>365</v>
      </c>
      <c r="B70" t="str">
        <f>_xlfn.DISPIMG("ID_4137FC4C57CC410CB574B0A56CD0ADA8",1)</f>
        <v>=DISPIMG("ID_4137FC4C57CC410CB574B0A56CD0ADA8",1)</v>
      </c>
      <c r="C70" t="s">
        <v>366</v>
      </c>
      <c r="D70" t="s">
        <v>365</v>
      </c>
      <c r="E70" s="7">
        <v>89.99</v>
      </c>
      <c r="F70" s="7" t="s">
        <v>195</v>
      </c>
      <c r="G70" s="8" t="s">
        <v>367</v>
      </c>
      <c r="H70">
        <v>50</v>
      </c>
      <c r="I70" s="8">
        <v>17166</v>
      </c>
      <c r="J70" s="9">
        <v>0.00254283234134332</v>
      </c>
      <c r="K70">
        <v>16770</v>
      </c>
      <c r="L70">
        <v>396</v>
      </c>
      <c r="M70" s="10">
        <v>0.97693115</v>
      </c>
      <c r="N70" s="10">
        <v>0.023068856</v>
      </c>
      <c r="O70" s="9">
        <v>0.107694246</v>
      </c>
      <c r="P70" s="9">
        <v>0.10524788</v>
      </c>
      <c r="Q70" s="9">
        <v>0.0024463653</v>
      </c>
      <c r="R70" t="s">
        <v>169</v>
      </c>
      <c r="S70" s="8">
        <v>75</v>
      </c>
      <c r="T70" t="s">
        <v>368</v>
      </c>
      <c r="U70" t="s">
        <v>31</v>
      </c>
      <c r="V70" s="8">
        <v>9</v>
      </c>
      <c r="W70" t="s">
        <v>104</v>
      </c>
      <c r="X70" t="s">
        <v>369</v>
      </c>
      <c r="Y70" s="8">
        <v>1154</v>
      </c>
      <c r="Z70" s="8">
        <v>1000</v>
      </c>
      <c r="AA70" s="8">
        <v>154</v>
      </c>
    </row>
    <row r="71" ht="46" customHeight="1" spans="1:27">
      <c r="A71" t="s">
        <v>370</v>
      </c>
      <c r="B71" t="str">
        <f>_xlfn.DISPIMG("ID_9C8251DE92F742F2805B8E7B36240FAB",1)</f>
        <v>=DISPIMG("ID_9C8251DE92F742F2805B8E7B36240FAB",1)</v>
      </c>
      <c r="C71" t="s">
        <v>371</v>
      </c>
      <c r="D71" t="s">
        <v>370</v>
      </c>
      <c r="E71" s="7">
        <v>43.5</v>
      </c>
      <c r="F71" s="7" t="s">
        <v>27</v>
      </c>
      <c r="G71" s="8" t="s">
        <v>372</v>
      </c>
      <c r="H71">
        <v>200</v>
      </c>
      <c r="I71" s="8">
        <v>17061</v>
      </c>
      <c r="J71" s="9">
        <v>0.00252727849095062</v>
      </c>
      <c r="K71">
        <v>17061</v>
      </c>
      <c r="L71">
        <v>0</v>
      </c>
      <c r="M71" s="10">
        <v>1</v>
      </c>
      <c r="N71" s="10">
        <v>0</v>
      </c>
      <c r="O71" s="9">
        <v>0.10721355</v>
      </c>
      <c r="P71" s="9">
        <v>0.10721355</v>
      </c>
      <c r="Q71" s="9">
        <v>0</v>
      </c>
      <c r="R71" t="s">
        <v>95</v>
      </c>
      <c r="S71" s="8">
        <v>73</v>
      </c>
      <c r="T71" t="s">
        <v>373</v>
      </c>
      <c r="U71" t="s">
        <v>31</v>
      </c>
      <c r="V71" s="8" t="s">
        <v>97</v>
      </c>
      <c r="W71" t="s">
        <v>97</v>
      </c>
      <c r="X71" t="s">
        <v>97</v>
      </c>
      <c r="Y71" s="8">
        <v>1267</v>
      </c>
      <c r="Z71" s="8">
        <v>1216</v>
      </c>
      <c r="AA71" s="8">
        <v>51</v>
      </c>
    </row>
    <row r="72" ht="46" customHeight="1" spans="1:27">
      <c r="A72" t="s">
        <v>374</v>
      </c>
      <c r="B72" t="str">
        <f>_xlfn.DISPIMG("ID_9A636D157E27460DA1E26FFCED8C723C",1)</f>
        <v>=DISPIMG("ID_9A636D157E27460DA1E26FFCED8C723C",1)</v>
      </c>
      <c r="C72" t="s">
        <v>375</v>
      </c>
      <c r="D72" t="s">
        <v>374</v>
      </c>
      <c r="E72" s="7">
        <v>41.98</v>
      </c>
      <c r="F72" s="7" t="s">
        <v>376</v>
      </c>
      <c r="G72" s="8" t="s">
        <v>376</v>
      </c>
      <c r="H72">
        <v>200</v>
      </c>
      <c r="I72" s="8">
        <v>16722</v>
      </c>
      <c r="J72" s="9">
        <v>0.00247706177396848</v>
      </c>
      <c r="K72">
        <v>16722</v>
      </c>
      <c r="L72">
        <v>0</v>
      </c>
      <c r="M72" s="10">
        <v>1</v>
      </c>
      <c r="N72" s="10">
        <v>0</v>
      </c>
      <c r="O72" s="9">
        <v>0.104594976</v>
      </c>
      <c r="P72" s="9">
        <v>0.104594976</v>
      </c>
      <c r="Q72" s="9">
        <v>0</v>
      </c>
      <c r="R72" t="s">
        <v>95</v>
      </c>
      <c r="S72" s="8">
        <v>82</v>
      </c>
      <c r="T72" t="s">
        <v>377</v>
      </c>
      <c r="U72" t="s">
        <v>31</v>
      </c>
      <c r="V72" s="8" t="s">
        <v>97</v>
      </c>
      <c r="W72" t="s">
        <v>97</v>
      </c>
      <c r="X72" t="s">
        <v>97</v>
      </c>
      <c r="Y72" s="8">
        <v>797</v>
      </c>
      <c r="Z72" s="8">
        <v>776</v>
      </c>
      <c r="AA72" s="8">
        <v>21</v>
      </c>
    </row>
    <row r="73" ht="46" customHeight="1" spans="1:27">
      <c r="A73" t="s">
        <v>378</v>
      </c>
      <c r="B73" t="str">
        <f>_xlfn.DISPIMG("ID_08E4EEE66FF74D86A3A8C347EEAC1085",1)</f>
        <v>=DISPIMG("ID_08E4EEE66FF74D86A3A8C347EEAC1085",1)</v>
      </c>
      <c r="C73" t="s">
        <v>379</v>
      </c>
      <c r="D73" t="s">
        <v>378</v>
      </c>
      <c r="E73" s="7">
        <v>215.99</v>
      </c>
      <c r="F73" s="7" t="s">
        <v>191</v>
      </c>
      <c r="G73" s="8" t="s">
        <v>380</v>
      </c>
      <c r="H73">
        <v>700</v>
      </c>
      <c r="I73" s="8">
        <v>16632</v>
      </c>
      <c r="J73" s="9">
        <v>0.00246372990220331</v>
      </c>
      <c r="K73">
        <v>16632</v>
      </c>
      <c r="L73">
        <v>0</v>
      </c>
      <c r="M73" s="10">
        <v>1</v>
      </c>
      <c r="N73" s="10">
        <v>0</v>
      </c>
      <c r="O73" s="9">
        <v>0.10904359</v>
      </c>
      <c r="P73" s="9">
        <v>0.10904359</v>
      </c>
      <c r="Q73" s="9">
        <v>0</v>
      </c>
      <c r="R73" t="s">
        <v>95</v>
      </c>
      <c r="S73" s="8">
        <v>37</v>
      </c>
      <c r="T73" t="s">
        <v>271</v>
      </c>
      <c r="U73" t="s">
        <v>31</v>
      </c>
      <c r="V73" s="8" t="s">
        <v>97</v>
      </c>
      <c r="W73" t="s">
        <v>97</v>
      </c>
      <c r="X73" t="s">
        <v>97</v>
      </c>
      <c r="Y73" s="8">
        <v>2851</v>
      </c>
      <c r="Z73" s="8">
        <v>2043</v>
      </c>
      <c r="AA73" s="8">
        <v>808</v>
      </c>
    </row>
    <row r="74" ht="46" customHeight="1" spans="1:27">
      <c r="A74" t="s">
        <v>381</v>
      </c>
      <c r="B74" t="str">
        <f>_xlfn.DISPIMG("ID_B0A0E0CA231940259ADA6B83AF30C654",1)</f>
        <v>=DISPIMG("ID_B0A0E0CA231940259ADA6B83AF30C654",1)</v>
      </c>
      <c r="C74" t="s">
        <v>382</v>
      </c>
      <c r="D74" t="s">
        <v>381</v>
      </c>
      <c r="E74" s="7">
        <v>149.99</v>
      </c>
      <c r="F74" s="7" t="s">
        <v>214</v>
      </c>
      <c r="G74" s="8" t="s">
        <v>383</v>
      </c>
      <c r="H74">
        <v>1000</v>
      </c>
      <c r="I74" s="8">
        <v>16051</v>
      </c>
      <c r="J74" s="9">
        <v>0.00237766526336372</v>
      </c>
      <c r="K74">
        <v>16051</v>
      </c>
      <c r="L74">
        <v>0</v>
      </c>
      <c r="M74" s="10">
        <v>1</v>
      </c>
      <c r="N74" s="10">
        <v>0</v>
      </c>
      <c r="O74" s="9">
        <v>0.0992175</v>
      </c>
      <c r="P74" s="9">
        <v>0.0992175</v>
      </c>
      <c r="Q74" s="9">
        <v>0</v>
      </c>
      <c r="R74" t="s">
        <v>38</v>
      </c>
      <c r="S74" s="8">
        <v>38</v>
      </c>
      <c r="T74" t="s">
        <v>384</v>
      </c>
      <c r="U74" t="s">
        <v>385</v>
      </c>
      <c r="V74" s="8">
        <v>9</v>
      </c>
      <c r="W74" t="s">
        <v>104</v>
      </c>
      <c r="X74" t="s">
        <v>386</v>
      </c>
      <c r="Y74" s="8">
        <v>1710</v>
      </c>
      <c r="Z74" s="8">
        <v>1584</v>
      </c>
      <c r="AA74" s="8">
        <v>126</v>
      </c>
    </row>
    <row r="75" ht="46" customHeight="1" spans="1:27">
      <c r="A75" t="s">
        <v>387</v>
      </c>
      <c r="B75" t="str">
        <f>_xlfn.DISPIMG("ID_D76170F2F20340A2BF6C6B09E4472FBF",1)</f>
        <v>=DISPIMG("ID_D76170F2F20340A2BF6C6B09E4472FBF",1)</v>
      </c>
      <c r="C75" t="s">
        <v>388</v>
      </c>
      <c r="D75" t="s">
        <v>387</v>
      </c>
      <c r="E75" s="7">
        <v>71.99</v>
      </c>
      <c r="F75" s="7" t="s">
        <v>115</v>
      </c>
      <c r="G75" s="8" t="s">
        <v>389</v>
      </c>
      <c r="H75">
        <v>300</v>
      </c>
      <c r="I75" s="8">
        <v>15996</v>
      </c>
      <c r="J75" s="9">
        <v>0.00236951800839612</v>
      </c>
      <c r="K75">
        <v>14859</v>
      </c>
      <c r="L75">
        <v>1137</v>
      </c>
      <c r="M75" s="10">
        <v>0.92891973</v>
      </c>
      <c r="N75" s="10">
        <v>0.07108027</v>
      </c>
      <c r="O75" s="9">
        <v>0.10022078</v>
      </c>
      <c r="P75" s="9">
        <v>0.09320456</v>
      </c>
      <c r="Q75" s="9">
        <v>0.007016221</v>
      </c>
      <c r="R75" t="s">
        <v>152</v>
      </c>
      <c r="S75" s="8">
        <v>96</v>
      </c>
      <c r="T75" t="s">
        <v>390</v>
      </c>
      <c r="U75" t="s">
        <v>31</v>
      </c>
      <c r="V75" s="8">
        <v>11</v>
      </c>
      <c r="W75" t="s">
        <v>46</v>
      </c>
      <c r="X75" t="s">
        <v>62</v>
      </c>
      <c r="Y75" s="8">
        <v>1588</v>
      </c>
      <c r="Z75" s="8">
        <v>1326</v>
      </c>
      <c r="AA75" s="8">
        <v>262</v>
      </c>
    </row>
    <row r="76" ht="46" customHeight="1" spans="1:27">
      <c r="A76" t="s">
        <v>391</v>
      </c>
      <c r="B76" t="str">
        <f>_xlfn.DISPIMG("ID_C7ED11A6EE38442EABB999FD5D0FF69E",1)</f>
        <v>=DISPIMG("ID_C7ED11A6EE38442EABB999FD5D0FF69E",1)</v>
      </c>
      <c r="C76" t="s">
        <v>392</v>
      </c>
      <c r="D76" t="s">
        <v>391</v>
      </c>
      <c r="E76" s="7">
        <v>42.49</v>
      </c>
      <c r="F76" s="7" t="s">
        <v>257</v>
      </c>
      <c r="G76" s="8" t="s">
        <v>226</v>
      </c>
      <c r="H76">
        <v>50</v>
      </c>
      <c r="I76" s="8">
        <v>15818</v>
      </c>
      <c r="J76" s="9">
        <v>0.00234315052868278</v>
      </c>
      <c r="K76">
        <v>15818</v>
      </c>
      <c r="L76">
        <v>0</v>
      </c>
      <c r="M76" s="10">
        <v>1</v>
      </c>
      <c r="N76" s="10">
        <v>0</v>
      </c>
      <c r="O76" s="9">
        <v>0.101157926</v>
      </c>
      <c r="P76" s="9">
        <v>0.101157926</v>
      </c>
      <c r="Q76" s="9">
        <v>0</v>
      </c>
      <c r="R76" t="s">
        <v>95</v>
      </c>
      <c r="S76" s="8">
        <v>36</v>
      </c>
      <c r="T76" t="s">
        <v>216</v>
      </c>
      <c r="U76" t="s">
        <v>31</v>
      </c>
      <c r="V76" s="8" t="s">
        <v>97</v>
      </c>
      <c r="W76" t="s">
        <v>97</v>
      </c>
      <c r="X76" t="s">
        <v>97</v>
      </c>
      <c r="Y76" s="8">
        <v>708</v>
      </c>
      <c r="Z76" s="8">
        <v>708</v>
      </c>
      <c r="AA76" s="8">
        <v>0</v>
      </c>
    </row>
    <row r="77" ht="46" customHeight="1" spans="1:27">
      <c r="A77" t="s">
        <v>393</v>
      </c>
      <c r="B77" t="str">
        <f>_xlfn.DISPIMG("ID_6ED73D72B54F41A794D10E04A720E966",1)</f>
        <v>=DISPIMG("ID_6ED73D72B54F41A794D10E04A720E966",1)</v>
      </c>
      <c r="C77" t="s">
        <v>394</v>
      </c>
      <c r="D77" t="s">
        <v>393</v>
      </c>
      <c r="E77" s="7">
        <v>104.49</v>
      </c>
      <c r="F77" s="7" t="s">
        <v>195</v>
      </c>
      <c r="G77" s="8" t="s">
        <v>395</v>
      </c>
      <c r="H77">
        <v>0</v>
      </c>
      <c r="I77" s="8">
        <v>15452</v>
      </c>
      <c r="J77" s="9">
        <v>0.00228893425017109</v>
      </c>
      <c r="K77">
        <v>15452</v>
      </c>
      <c r="L77">
        <v>0</v>
      </c>
      <c r="M77" s="10">
        <v>1</v>
      </c>
      <c r="N77" s="10">
        <v>0</v>
      </c>
      <c r="O77" s="9">
        <v>0.097203076</v>
      </c>
      <c r="P77" s="9">
        <v>0.097203076</v>
      </c>
      <c r="Q77" s="9">
        <v>0</v>
      </c>
      <c r="R77" t="s">
        <v>95</v>
      </c>
      <c r="S77" s="8">
        <v>69</v>
      </c>
      <c r="T77" t="s">
        <v>396</v>
      </c>
      <c r="U77" t="s">
        <v>31</v>
      </c>
      <c r="V77" s="8" t="s">
        <v>97</v>
      </c>
      <c r="W77" t="s">
        <v>97</v>
      </c>
      <c r="X77" t="s">
        <v>97</v>
      </c>
      <c r="Y77" s="8">
        <v>670</v>
      </c>
      <c r="Z77" s="8">
        <v>637</v>
      </c>
      <c r="AA77" s="8">
        <v>33</v>
      </c>
    </row>
    <row r="78" ht="46" customHeight="1" spans="1:27">
      <c r="A78" t="s">
        <v>397</v>
      </c>
      <c r="B78" t="str">
        <f>_xlfn.DISPIMG("ID_495DDF411BCF4C4788A3F9A4019FCDB2",1)</f>
        <v>=DISPIMG("ID_495DDF411BCF4C4788A3F9A4019FCDB2",1)</v>
      </c>
      <c r="C78" t="s">
        <v>398</v>
      </c>
      <c r="D78" t="s">
        <v>397</v>
      </c>
      <c r="E78" s="7">
        <v>45.11</v>
      </c>
      <c r="F78" s="7" t="s">
        <v>100</v>
      </c>
      <c r="G78" s="8" t="s">
        <v>399</v>
      </c>
      <c r="H78">
        <v>100</v>
      </c>
      <c r="I78" s="8">
        <v>15395</v>
      </c>
      <c r="J78" s="9">
        <v>0.00228049073138648</v>
      </c>
      <c r="K78">
        <v>15395</v>
      </c>
      <c r="L78">
        <v>0</v>
      </c>
      <c r="M78" s="10">
        <v>1</v>
      </c>
      <c r="N78" s="10">
        <v>0</v>
      </c>
      <c r="O78" s="9">
        <v>0.09513855</v>
      </c>
      <c r="P78" s="9">
        <v>0.09513855</v>
      </c>
      <c r="Q78" s="9">
        <v>0</v>
      </c>
      <c r="R78" t="s">
        <v>95</v>
      </c>
      <c r="S78" s="8">
        <v>62</v>
      </c>
      <c r="T78" t="s">
        <v>363</v>
      </c>
      <c r="U78" t="s">
        <v>400</v>
      </c>
      <c r="V78" s="8" t="s">
        <v>97</v>
      </c>
      <c r="W78" t="s">
        <v>97</v>
      </c>
      <c r="X78" t="s">
        <v>97</v>
      </c>
      <c r="Y78" s="8">
        <v>869</v>
      </c>
      <c r="Z78" s="8">
        <v>813</v>
      </c>
      <c r="AA78" s="8">
        <v>56</v>
      </c>
    </row>
    <row r="79" ht="46" customHeight="1" spans="1:27">
      <c r="A79" t="s">
        <v>401</v>
      </c>
      <c r="B79" t="str">
        <f>_xlfn.DISPIMG("ID_4D35D12AFC724C10BB5F08E2B22305F0",1)</f>
        <v>=DISPIMG("ID_4D35D12AFC724C10BB5F08E2B22305F0",1)</v>
      </c>
      <c r="C79" t="s">
        <v>64</v>
      </c>
      <c r="D79" t="s">
        <v>401</v>
      </c>
      <c r="E79" s="7">
        <v>109.99</v>
      </c>
      <c r="F79" s="7" t="s">
        <v>65</v>
      </c>
      <c r="G79" s="8" t="s">
        <v>402</v>
      </c>
      <c r="H79">
        <v>400</v>
      </c>
      <c r="I79" s="8">
        <v>14630</v>
      </c>
      <c r="J79" s="9">
        <v>0.00216716982138254</v>
      </c>
      <c r="K79">
        <v>0</v>
      </c>
      <c r="L79">
        <v>14630</v>
      </c>
      <c r="M79" s="10">
        <v>0</v>
      </c>
      <c r="N79" s="10">
        <v>1</v>
      </c>
      <c r="O79" s="9">
        <v>0.09120536</v>
      </c>
      <c r="P79" s="9">
        <v>0</v>
      </c>
      <c r="Q79" s="9">
        <v>0.09120536</v>
      </c>
      <c r="R79" t="s">
        <v>403</v>
      </c>
      <c r="S79" s="8" t="s">
        <v>97</v>
      </c>
      <c r="T79" t="s">
        <v>97</v>
      </c>
      <c r="U79" t="s">
        <v>97</v>
      </c>
      <c r="V79" s="8">
        <v>13</v>
      </c>
      <c r="W79" t="s">
        <v>285</v>
      </c>
      <c r="X79" t="s">
        <v>51</v>
      </c>
      <c r="Y79" s="8">
        <v>1297</v>
      </c>
      <c r="Z79" s="8">
        <v>332</v>
      </c>
      <c r="AA79" s="8">
        <v>965</v>
      </c>
    </row>
    <row r="80" ht="46" customHeight="1" spans="1:27">
      <c r="A80" t="s">
        <v>404</v>
      </c>
      <c r="B80" t="str">
        <f>_xlfn.DISPIMG("ID_0FC0EB7A76E24CCAACEE8B1B7213FA41",1)</f>
        <v>=DISPIMG("ID_0FC0EB7A76E24CCAACEE8B1B7213FA41",1)</v>
      </c>
      <c r="C80" t="s">
        <v>405</v>
      </c>
      <c r="D80" t="s">
        <v>404</v>
      </c>
      <c r="E80" s="7">
        <v>71.25</v>
      </c>
      <c r="F80" s="7" t="s">
        <v>128</v>
      </c>
      <c r="G80" s="8" t="s">
        <v>406</v>
      </c>
      <c r="H80">
        <v>200</v>
      </c>
      <c r="I80" s="8">
        <v>13613</v>
      </c>
      <c r="J80" s="9">
        <v>0.00201651967043613</v>
      </c>
      <c r="K80">
        <v>13613</v>
      </c>
      <c r="L80">
        <v>0</v>
      </c>
      <c r="M80" s="10">
        <v>1</v>
      </c>
      <c r="N80" s="10">
        <v>0</v>
      </c>
      <c r="O80" s="9">
        <v>0.08619612</v>
      </c>
      <c r="P80" s="9">
        <v>0.08619612</v>
      </c>
      <c r="Q80" s="9">
        <v>0</v>
      </c>
      <c r="R80" t="s">
        <v>95</v>
      </c>
      <c r="S80" s="8">
        <v>52</v>
      </c>
      <c r="T80" t="s">
        <v>32</v>
      </c>
      <c r="U80" t="s">
        <v>31</v>
      </c>
      <c r="V80" s="8" t="s">
        <v>97</v>
      </c>
      <c r="W80" t="s">
        <v>97</v>
      </c>
      <c r="X80" t="s">
        <v>97</v>
      </c>
      <c r="Y80" s="8">
        <v>1164</v>
      </c>
      <c r="Z80" s="8">
        <v>1103</v>
      </c>
      <c r="AA80" s="8">
        <v>61</v>
      </c>
    </row>
    <row r="81" ht="46" customHeight="1" spans="1:27">
      <c r="A81" t="s">
        <v>407</v>
      </c>
      <c r="B81" t="str">
        <f>_xlfn.DISPIMG("ID_968E1CB80E914C8FA6733F6D9B15E831",1)</f>
        <v>=DISPIMG("ID_968E1CB80E914C8FA6733F6D9B15E831",1)</v>
      </c>
      <c r="C81" t="s">
        <v>408</v>
      </c>
      <c r="D81" t="s">
        <v>407</v>
      </c>
      <c r="E81" s="7">
        <v>79.99</v>
      </c>
      <c r="F81" s="7" t="s">
        <v>115</v>
      </c>
      <c r="G81" s="8" t="s">
        <v>409</v>
      </c>
      <c r="H81">
        <v>0</v>
      </c>
      <c r="I81" s="8">
        <v>10873</v>
      </c>
      <c r="J81" s="9">
        <v>0.00161063824114097</v>
      </c>
      <c r="K81">
        <v>10873</v>
      </c>
      <c r="L81">
        <v>0</v>
      </c>
      <c r="M81" s="10">
        <v>1</v>
      </c>
      <c r="N81" s="10">
        <v>0</v>
      </c>
      <c r="O81" s="9">
        <v>0.068771064</v>
      </c>
      <c r="P81" s="9">
        <v>0.068771064</v>
      </c>
      <c r="Q81" s="9">
        <v>0</v>
      </c>
      <c r="R81" t="s">
        <v>95</v>
      </c>
      <c r="S81" s="8">
        <v>84</v>
      </c>
      <c r="T81" t="s">
        <v>410</v>
      </c>
      <c r="U81" t="s">
        <v>31</v>
      </c>
      <c r="V81" s="8" t="s">
        <v>97</v>
      </c>
      <c r="W81" t="s">
        <v>97</v>
      </c>
      <c r="X81" t="s">
        <v>97</v>
      </c>
      <c r="Y81" s="8">
        <v>821</v>
      </c>
      <c r="Z81" s="8">
        <v>638</v>
      </c>
      <c r="AA81" s="8">
        <v>183</v>
      </c>
    </row>
    <row r="82" ht="46" customHeight="1" spans="1:27">
      <c r="A82" t="s">
        <v>411</v>
      </c>
      <c r="B82" t="str">
        <f>_xlfn.DISPIMG("ID_CA6CEF69C03D4E6DB654DC94BC290048",1)</f>
        <v>=DISPIMG("ID_CA6CEF69C03D4E6DB654DC94BC290048",1)</v>
      </c>
      <c r="C82" t="s">
        <v>412</v>
      </c>
      <c r="D82" t="s">
        <v>411</v>
      </c>
      <c r="E82" s="7">
        <v>94.99</v>
      </c>
      <c r="F82" s="7" t="s">
        <v>27</v>
      </c>
      <c r="G82" s="8" t="s">
        <v>413</v>
      </c>
      <c r="H82">
        <v>900</v>
      </c>
      <c r="I82" s="8">
        <v>10791</v>
      </c>
      <c r="J82" s="9">
        <v>0.00159849142464382</v>
      </c>
      <c r="K82">
        <v>3283</v>
      </c>
      <c r="L82">
        <v>7508</v>
      </c>
      <c r="M82" s="10">
        <v>0.304235</v>
      </c>
      <c r="N82" s="10">
        <v>0.695765</v>
      </c>
      <c r="O82" s="9">
        <v>0.0666851</v>
      </c>
      <c r="P82" s="9">
        <v>0.020291854</v>
      </c>
      <c r="Q82" s="9">
        <v>0.04639325</v>
      </c>
      <c r="R82" t="s">
        <v>38</v>
      </c>
      <c r="S82" s="8">
        <v>23</v>
      </c>
      <c r="T82" t="s">
        <v>414</v>
      </c>
      <c r="U82" t="s">
        <v>415</v>
      </c>
      <c r="V82" s="8">
        <v>12</v>
      </c>
      <c r="W82" t="s">
        <v>76</v>
      </c>
      <c r="X82" t="s">
        <v>416</v>
      </c>
      <c r="Y82" s="8">
        <v>1696</v>
      </c>
      <c r="Z82" s="8">
        <v>1006</v>
      </c>
      <c r="AA82" s="8">
        <v>690</v>
      </c>
    </row>
    <row r="83" ht="46" customHeight="1" spans="1:27">
      <c r="A83" t="s">
        <v>417</v>
      </c>
      <c r="B83" t="str">
        <f>_xlfn.DISPIMG("ID_59DF79074228476D9D84A8448004A06E",1)</f>
        <v>=DISPIMG("ID_59DF79074228476D9D84A8448004A06E",1)</v>
      </c>
      <c r="C83" t="s">
        <v>418</v>
      </c>
      <c r="D83" t="s">
        <v>417</v>
      </c>
      <c r="E83" s="7">
        <v>109.99</v>
      </c>
      <c r="F83" s="7" t="s">
        <v>195</v>
      </c>
      <c r="G83" s="8" t="s">
        <v>419</v>
      </c>
      <c r="H83">
        <v>0</v>
      </c>
      <c r="I83" s="8">
        <v>10266</v>
      </c>
      <c r="J83" s="9">
        <v>0.00152072217268033</v>
      </c>
      <c r="K83">
        <v>10266</v>
      </c>
      <c r="L83">
        <v>0</v>
      </c>
      <c r="M83" s="10">
        <v>1</v>
      </c>
      <c r="N83" s="10">
        <v>0</v>
      </c>
      <c r="O83" s="9">
        <v>0.06492735</v>
      </c>
      <c r="P83" s="9">
        <v>0.06492735</v>
      </c>
      <c r="Q83" s="9">
        <v>0</v>
      </c>
      <c r="R83" t="s">
        <v>95</v>
      </c>
      <c r="S83" s="8">
        <v>89</v>
      </c>
      <c r="T83" t="s">
        <v>345</v>
      </c>
      <c r="U83" t="s">
        <v>84</v>
      </c>
      <c r="V83" s="8" t="s">
        <v>97</v>
      </c>
      <c r="W83" t="s">
        <v>97</v>
      </c>
      <c r="X83" t="s">
        <v>97</v>
      </c>
      <c r="Y83" s="8">
        <v>1145</v>
      </c>
      <c r="Z83" s="8">
        <v>446</v>
      </c>
      <c r="AA83" s="8">
        <v>699</v>
      </c>
    </row>
    <row r="84" ht="46" customHeight="1" spans="1:27">
      <c r="A84" t="s">
        <v>420</v>
      </c>
      <c r="B84" t="str">
        <f>_xlfn.DISPIMG("ID_B4FDADC707C647A1A3AE39E0F5A3A8A7",1)</f>
        <v>=DISPIMG("ID_B4FDADC707C647A1A3AE39E0F5A3A8A7",1)</v>
      </c>
      <c r="C84" t="s">
        <v>421</v>
      </c>
      <c r="D84" t="s">
        <v>420</v>
      </c>
      <c r="E84" s="7">
        <v>79.99</v>
      </c>
      <c r="F84" s="7" t="s">
        <v>107</v>
      </c>
      <c r="G84" s="8" t="s">
        <v>361</v>
      </c>
      <c r="H84">
        <v>50</v>
      </c>
      <c r="I84" s="8">
        <v>9501</v>
      </c>
      <c r="J84" s="9">
        <v>0.00140740126267639</v>
      </c>
      <c r="K84">
        <v>3994</v>
      </c>
      <c r="L84">
        <v>5507</v>
      </c>
      <c r="M84" s="10">
        <v>0.4203768</v>
      </c>
      <c r="N84" s="10">
        <v>0.5796232</v>
      </c>
      <c r="O84" s="9">
        <v>0.059168987</v>
      </c>
      <c r="P84" s="9">
        <v>0.025137074</v>
      </c>
      <c r="Q84" s="9">
        <v>0.034031913</v>
      </c>
      <c r="R84" t="s">
        <v>38</v>
      </c>
      <c r="S84" s="8">
        <v>121</v>
      </c>
      <c r="T84" t="s">
        <v>422</v>
      </c>
      <c r="U84" t="s">
        <v>31</v>
      </c>
      <c r="V84" s="8">
        <v>17</v>
      </c>
      <c r="W84" t="s">
        <v>103</v>
      </c>
      <c r="X84" t="s">
        <v>423</v>
      </c>
      <c r="Y84" s="8">
        <v>954</v>
      </c>
      <c r="Z84" s="8">
        <v>484</v>
      </c>
      <c r="AA84" s="8">
        <v>470</v>
      </c>
    </row>
    <row r="85" ht="46" customHeight="1" spans="1:27">
      <c r="A85" t="s">
        <v>424</v>
      </c>
      <c r="B85" t="str">
        <f>_xlfn.DISPIMG("ID_2118FCFA60C54405A0DF98A9DF1903BD",1)</f>
        <v>=DISPIMG("ID_2118FCFA60C54405A0DF98A9DF1903BD",1)</v>
      </c>
      <c r="C85" t="s">
        <v>425</v>
      </c>
      <c r="D85" t="s">
        <v>424</v>
      </c>
      <c r="E85" s="7">
        <v>269.99</v>
      </c>
      <c r="F85" s="7" t="s">
        <v>87</v>
      </c>
      <c r="G85" s="8" t="s">
        <v>426</v>
      </c>
      <c r="H85">
        <v>100</v>
      </c>
      <c r="I85" s="8">
        <v>9259</v>
      </c>
      <c r="J85" s="9">
        <v>0.00137155334081893</v>
      </c>
      <c r="K85">
        <v>9259</v>
      </c>
      <c r="L85">
        <v>0</v>
      </c>
      <c r="M85" s="10">
        <v>1</v>
      </c>
      <c r="N85" s="10">
        <v>0</v>
      </c>
      <c r="O85" s="9">
        <v>0.057771776</v>
      </c>
      <c r="P85" s="9">
        <v>0.057771776</v>
      </c>
      <c r="Q85" s="9">
        <v>0</v>
      </c>
      <c r="R85" t="s">
        <v>38</v>
      </c>
      <c r="S85" s="8">
        <v>141</v>
      </c>
      <c r="T85" t="s">
        <v>427</v>
      </c>
      <c r="U85" t="s">
        <v>31</v>
      </c>
      <c r="V85" s="8">
        <v>12</v>
      </c>
      <c r="W85" t="s">
        <v>76</v>
      </c>
      <c r="X85" t="s">
        <v>428</v>
      </c>
      <c r="Y85" s="8">
        <v>793</v>
      </c>
      <c r="Z85" s="8">
        <v>793</v>
      </c>
      <c r="AA85" s="8">
        <v>0</v>
      </c>
    </row>
    <row r="86" ht="46" customHeight="1" spans="1:27">
      <c r="A86" t="s">
        <v>429</v>
      </c>
      <c r="B86" t="str">
        <f>_xlfn.DISPIMG("ID_FAD3F3C41CF24D7A8A617A026C4A4644",1)</f>
        <v>=DISPIMG("ID_FAD3F3C41CF24D7A8A617A026C4A4644",1)</v>
      </c>
      <c r="C86" t="s">
        <v>430</v>
      </c>
      <c r="D86" t="s">
        <v>429</v>
      </c>
      <c r="E86" s="7">
        <v>63.98</v>
      </c>
      <c r="F86" s="7" t="s">
        <v>27</v>
      </c>
      <c r="G86" s="8" t="s">
        <v>235</v>
      </c>
      <c r="H86">
        <v>100</v>
      </c>
      <c r="I86" s="8">
        <v>9173</v>
      </c>
      <c r="J86" s="9">
        <v>0.00135881399668777</v>
      </c>
      <c r="K86">
        <v>8924</v>
      </c>
      <c r="L86">
        <v>249</v>
      </c>
      <c r="M86" s="10">
        <v>0.9728551</v>
      </c>
      <c r="N86" s="10">
        <v>0.027144881</v>
      </c>
      <c r="O86" s="9">
        <v>0.05738779</v>
      </c>
      <c r="P86" s="9">
        <v>0.055769175</v>
      </c>
      <c r="Q86" s="9">
        <v>0.001618618</v>
      </c>
      <c r="R86" t="s">
        <v>152</v>
      </c>
      <c r="S86" s="8">
        <v>105</v>
      </c>
      <c r="T86" t="s">
        <v>431</v>
      </c>
      <c r="U86" t="s">
        <v>31</v>
      </c>
      <c r="V86" s="8">
        <v>19</v>
      </c>
      <c r="W86" t="s">
        <v>135</v>
      </c>
      <c r="X86" t="s">
        <v>51</v>
      </c>
      <c r="Y86" s="8">
        <v>1200</v>
      </c>
      <c r="Z86" s="8">
        <v>1088</v>
      </c>
      <c r="AA86" s="8">
        <v>112</v>
      </c>
    </row>
    <row r="87" ht="46" customHeight="1" spans="1:27">
      <c r="A87" t="s">
        <v>432</v>
      </c>
      <c r="B87" t="str">
        <f>_xlfn.DISPIMG("ID_9D68E3606FF944E8A90A6C9ED2B1B2C2",1)</f>
        <v>=DISPIMG("ID_9D68E3606FF944E8A90A6C9ED2B1B2C2",1)</v>
      </c>
      <c r="C87" t="s">
        <v>433</v>
      </c>
      <c r="D87" t="s">
        <v>432</v>
      </c>
      <c r="E87" s="7">
        <v>420</v>
      </c>
      <c r="F87" s="7" t="s">
        <v>36</v>
      </c>
      <c r="G87" s="8" t="s">
        <v>434</v>
      </c>
      <c r="H87">
        <v>300</v>
      </c>
      <c r="I87" s="8">
        <v>8638</v>
      </c>
      <c r="J87" s="9">
        <v>0.00127956342563926</v>
      </c>
      <c r="K87">
        <v>8638</v>
      </c>
      <c r="L87">
        <v>0</v>
      </c>
      <c r="M87" s="10">
        <v>1</v>
      </c>
      <c r="N87" s="10">
        <v>0</v>
      </c>
      <c r="O87" s="9">
        <v>0.057802167</v>
      </c>
      <c r="P87" s="9">
        <v>0.057802167</v>
      </c>
      <c r="Q87" s="9">
        <v>0</v>
      </c>
      <c r="R87" t="s">
        <v>95</v>
      </c>
      <c r="S87" s="8">
        <v>43</v>
      </c>
      <c r="T87" t="s">
        <v>435</v>
      </c>
      <c r="U87" t="s">
        <v>31</v>
      </c>
      <c r="V87" s="8" t="s">
        <v>97</v>
      </c>
      <c r="W87" t="s">
        <v>97</v>
      </c>
      <c r="X87" t="s">
        <v>97</v>
      </c>
      <c r="Y87" s="8">
        <v>2887</v>
      </c>
      <c r="Z87" s="8">
        <v>2887</v>
      </c>
      <c r="AA87" s="8">
        <v>0</v>
      </c>
    </row>
    <row r="88" ht="46" customHeight="1" spans="1:27">
      <c r="A88" t="s">
        <v>436</v>
      </c>
      <c r="B88" t="str">
        <f>_xlfn.DISPIMG("ID_071B5477E26841E1BDFD5CFF1882EB98",1)</f>
        <v>=DISPIMG("ID_071B5477E26841E1BDFD5CFF1882EB98",1)</v>
      </c>
      <c r="C88" t="s">
        <v>437</v>
      </c>
      <c r="D88" t="s">
        <v>436</v>
      </c>
      <c r="E88" s="7">
        <v>109.99</v>
      </c>
      <c r="F88" s="7" t="s">
        <v>115</v>
      </c>
      <c r="G88" s="8" t="s">
        <v>438</v>
      </c>
      <c r="H88">
        <v>0</v>
      </c>
      <c r="I88" s="8">
        <v>8230</v>
      </c>
      <c r="J88" s="9">
        <v>0.0012191256069705</v>
      </c>
      <c r="K88">
        <v>0</v>
      </c>
      <c r="L88">
        <v>8230</v>
      </c>
      <c r="M88" s="10">
        <v>0</v>
      </c>
      <c r="N88" s="10">
        <v>1</v>
      </c>
      <c r="O88" s="9">
        <v>0.050867092</v>
      </c>
      <c r="P88" s="9">
        <v>0</v>
      </c>
      <c r="Q88" s="9">
        <v>0.050867092</v>
      </c>
      <c r="R88" t="s">
        <v>439</v>
      </c>
      <c r="S88" s="8" t="s">
        <v>97</v>
      </c>
      <c r="T88" t="s">
        <v>97</v>
      </c>
      <c r="U88" t="s">
        <v>97</v>
      </c>
      <c r="V88" s="8">
        <v>5</v>
      </c>
      <c r="W88" t="s">
        <v>117</v>
      </c>
      <c r="X88" t="s">
        <v>440</v>
      </c>
      <c r="Y88" s="8">
        <v>793</v>
      </c>
      <c r="Z88" s="8">
        <v>5</v>
      </c>
      <c r="AA88" s="8">
        <v>788</v>
      </c>
    </row>
    <row r="89" ht="46" customHeight="1" spans="1:27">
      <c r="A89" t="s">
        <v>441</v>
      </c>
      <c r="B89" t="str">
        <f>_xlfn.DISPIMG("ID_91F4233A693741FDB07A60F3C932A4AF",1)</f>
        <v>=DISPIMG("ID_91F4233A693741FDB07A60F3C932A4AF",1)</v>
      </c>
      <c r="C89" t="s">
        <v>442</v>
      </c>
      <c r="D89" t="s">
        <v>441</v>
      </c>
      <c r="E89" s="7">
        <v>199</v>
      </c>
      <c r="F89" s="7" t="s">
        <v>191</v>
      </c>
      <c r="G89" s="8" t="s">
        <v>443</v>
      </c>
      <c r="H89">
        <v>50</v>
      </c>
      <c r="I89" s="8">
        <v>8187</v>
      </c>
      <c r="J89" s="9">
        <v>0.00121275593490491</v>
      </c>
      <c r="K89">
        <v>7935</v>
      </c>
      <c r="L89">
        <v>252</v>
      </c>
      <c r="M89" s="10">
        <v>0.9692195</v>
      </c>
      <c r="N89" s="10">
        <v>0.030780505</v>
      </c>
      <c r="O89" s="9">
        <v>0.050955094</v>
      </c>
      <c r="P89" s="9">
        <v>0.04940282</v>
      </c>
      <c r="Q89" s="9">
        <v>0.0015522708</v>
      </c>
      <c r="R89" t="s">
        <v>152</v>
      </c>
      <c r="S89" s="8">
        <v>103</v>
      </c>
      <c r="T89" t="s">
        <v>444</v>
      </c>
      <c r="U89" t="s">
        <v>445</v>
      </c>
      <c r="V89" s="8">
        <v>10</v>
      </c>
      <c r="W89" t="s">
        <v>346</v>
      </c>
      <c r="X89" t="s">
        <v>446</v>
      </c>
      <c r="Y89" s="8">
        <v>1068</v>
      </c>
      <c r="Z89" s="8">
        <v>710</v>
      </c>
      <c r="AA89" s="8">
        <v>358</v>
      </c>
    </row>
    <row r="90" ht="46" customHeight="1" spans="1:27">
      <c r="A90" t="s">
        <v>447</v>
      </c>
      <c r="B90" t="str">
        <f>_xlfn.DISPIMG("ID_8F8295EBD02F45ED9F4621740BCB8D12",1)</f>
        <v>=DISPIMG("ID_8F8295EBD02F45ED9F4621740BCB8D12",1)</v>
      </c>
      <c r="C90" t="s">
        <v>448</v>
      </c>
      <c r="D90" t="s">
        <v>447</v>
      </c>
      <c r="E90" s="7">
        <v>152.99</v>
      </c>
      <c r="F90" s="7" t="s">
        <v>107</v>
      </c>
      <c r="G90" s="8" t="s">
        <v>240</v>
      </c>
      <c r="H90">
        <v>300</v>
      </c>
      <c r="I90" s="8">
        <v>7833</v>
      </c>
      <c r="J90" s="9">
        <v>0.00116031723929525</v>
      </c>
      <c r="K90">
        <v>1193</v>
      </c>
      <c r="L90">
        <v>6640</v>
      </c>
      <c r="M90" s="10">
        <v>0.15230435</v>
      </c>
      <c r="N90" s="10">
        <v>0.84769565</v>
      </c>
      <c r="O90" s="9">
        <v>0.051861957</v>
      </c>
      <c r="P90" s="9">
        <v>0.008168832</v>
      </c>
      <c r="Q90" s="9">
        <v>0.043693125</v>
      </c>
      <c r="R90" t="s">
        <v>67</v>
      </c>
      <c r="S90" s="8">
        <v>30</v>
      </c>
      <c r="T90" t="s">
        <v>236</v>
      </c>
      <c r="U90" t="s">
        <v>309</v>
      </c>
      <c r="V90" s="8">
        <v>2</v>
      </c>
      <c r="W90" t="s">
        <v>39</v>
      </c>
      <c r="X90" t="s">
        <v>449</v>
      </c>
      <c r="Y90" s="8">
        <v>1790</v>
      </c>
      <c r="Z90" s="8">
        <v>1046</v>
      </c>
      <c r="AA90" s="8">
        <v>744</v>
      </c>
    </row>
    <row r="91" ht="46" customHeight="1" spans="1:27">
      <c r="A91" t="s">
        <v>450</v>
      </c>
      <c r="B91" t="str">
        <f>_xlfn.DISPIMG("ID_3997B093D3B94B5980484B55FA7E10C8",1)</f>
        <v>=DISPIMG("ID_3997B093D3B94B5980484B55FA7E10C8",1)</v>
      </c>
      <c r="C91" t="s">
        <v>451</v>
      </c>
      <c r="D91" t="s">
        <v>450</v>
      </c>
      <c r="E91" s="7">
        <v>95.99</v>
      </c>
      <c r="F91" s="7" t="s">
        <v>65</v>
      </c>
      <c r="G91" s="8" t="s">
        <v>452</v>
      </c>
      <c r="H91">
        <v>0</v>
      </c>
      <c r="I91" s="8">
        <v>7535</v>
      </c>
      <c r="J91" s="9">
        <v>0.00111617393056169</v>
      </c>
      <c r="K91">
        <v>7535</v>
      </c>
      <c r="L91">
        <v>0</v>
      </c>
      <c r="M91" s="10">
        <v>1</v>
      </c>
      <c r="N91" s="10">
        <v>0</v>
      </c>
      <c r="O91" s="9">
        <v>0.04795167</v>
      </c>
      <c r="P91" s="9">
        <v>0.04795167</v>
      </c>
      <c r="Q91" s="9">
        <v>0</v>
      </c>
      <c r="R91" t="s">
        <v>95</v>
      </c>
      <c r="S91" s="8">
        <v>81</v>
      </c>
      <c r="T91" t="s">
        <v>453</v>
      </c>
      <c r="U91" t="s">
        <v>70</v>
      </c>
      <c r="V91" s="8" t="s">
        <v>97</v>
      </c>
      <c r="W91" t="s">
        <v>97</v>
      </c>
      <c r="X91" t="s">
        <v>97</v>
      </c>
      <c r="Y91" s="8">
        <v>462</v>
      </c>
      <c r="Z91" s="8">
        <v>462</v>
      </c>
      <c r="AA91" s="8">
        <v>0</v>
      </c>
    </row>
    <row r="92" ht="46" customHeight="1" spans="1:27">
      <c r="A92" t="s">
        <v>454</v>
      </c>
      <c r="B92" t="str">
        <f>_xlfn.DISPIMG("ID_2445AAE674BA4F3EB581DAA92591002F",1)</f>
        <v>=DISPIMG("ID_2445AAE674BA4F3EB581DAA92591002F",1)</v>
      </c>
      <c r="C92" t="s">
        <v>455</v>
      </c>
      <c r="D92" t="s">
        <v>454</v>
      </c>
      <c r="E92" s="7">
        <v>399</v>
      </c>
      <c r="F92" s="7" t="s">
        <v>115</v>
      </c>
      <c r="G92" s="8" t="s">
        <v>317</v>
      </c>
      <c r="H92">
        <v>0</v>
      </c>
      <c r="I92" s="8">
        <v>7054</v>
      </c>
      <c r="J92" s="9">
        <v>0.00104492248257228</v>
      </c>
      <c r="K92">
        <v>0</v>
      </c>
      <c r="L92">
        <v>7054</v>
      </c>
      <c r="M92" s="10">
        <v>0</v>
      </c>
      <c r="N92" s="10">
        <v>1</v>
      </c>
      <c r="O92" s="9">
        <v>0.043590378</v>
      </c>
      <c r="P92" s="9">
        <v>0</v>
      </c>
      <c r="Q92" s="9">
        <v>0.043590378</v>
      </c>
      <c r="R92" t="s">
        <v>439</v>
      </c>
      <c r="S92" s="8" t="s">
        <v>97</v>
      </c>
      <c r="T92" t="s">
        <v>97</v>
      </c>
      <c r="U92" t="s">
        <v>97</v>
      </c>
      <c r="V92" s="8">
        <v>3</v>
      </c>
      <c r="W92" t="s">
        <v>56</v>
      </c>
      <c r="X92" t="s">
        <v>456</v>
      </c>
      <c r="Y92" s="8">
        <v>1051</v>
      </c>
      <c r="Z92" s="8">
        <v>89</v>
      </c>
      <c r="AA92" s="8">
        <v>962</v>
      </c>
    </row>
    <row r="93" ht="46" customHeight="1" spans="1:27">
      <c r="A93" t="s">
        <v>457</v>
      </c>
      <c r="B93" t="str">
        <f>_xlfn.DISPIMG("ID_9737E3EA03054289B29367138008BF21",1)</f>
        <v>=DISPIMG("ID_9737E3EA03054289B29367138008BF21",1)</v>
      </c>
      <c r="C93" t="s">
        <v>458</v>
      </c>
      <c r="D93" t="s">
        <v>457</v>
      </c>
      <c r="E93" s="7">
        <v>59.99</v>
      </c>
      <c r="F93" s="7" t="s">
        <v>459</v>
      </c>
      <c r="G93" s="8" t="s">
        <v>459</v>
      </c>
      <c r="H93">
        <v>0</v>
      </c>
      <c r="I93" s="8">
        <v>6745</v>
      </c>
      <c r="J93" s="9">
        <v>0.000999149722845199</v>
      </c>
      <c r="K93">
        <v>6745</v>
      </c>
      <c r="L93">
        <v>0</v>
      </c>
      <c r="M93" s="10">
        <v>1</v>
      </c>
      <c r="N93" s="10">
        <v>0</v>
      </c>
      <c r="O93" s="9">
        <v>0.041686945</v>
      </c>
      <c r="P93" s="9">
        <v>0.041686945</v>
      </c>
      <c r="Q93" s="9">
        <v>0</v>
      </c>
      <c r="R93" t="s">
        <v>95</v>
      </c>
      <c r="S93" s="8">
        <v>141</v>
      </c>
      <c r="T93" t="s">
        <v>460</v>
      </c>
      <c r="U93" t="s">
        <v>461</v>
      </c>
      <c r="V93" s="8" t="s">
        <v>97</v>
      </c>
      <c r="W93" t="s">
        <v>97</v>
      </c>
      <c r="X93" t="s">
        <v>97</v>
      </c>
      <c r="Y93" s="8">
        <v>545</v>
      </c>
      <c r="Z93" s="8">
        <v>545</v>
      </c>
      <c r="AA93" s="8">
        <v>0</v>
      </c>
    </row>
    <row r="94" ht="46" customHeight="1" spans="1:27">
      <c r="A94" t="s">
        <v>462</v>
      </c>
      <c r="B94" t="str">
        <f>_xlfn.DISPIMG("ID_43F85D9ED606401782F37888CAB0B321",1)</f>
        <v>=DISPIMG("ID_43F85D9ED606401782F37888CAB0B321",1)</v>
      </c>
      <c r="C94" t="s">
        <v>463</v>
      </c>
      <c r="D94" t="s">
        <v>462</v>
      </c>
      <c r="E94" s="7">
        <v>69.99</v>
      </c>
      <c r="F94" s="7" t="s">
        <v>128</v>
      </c>
      <c r="G94" s="8" t="s">
        <v>464</v>
      </c>
      <c r="H94">
        <v>200</v>
      </c>
      <c r="I94" s="8">
        <v>6295</v>
      </c>
      <c r="J94" s="9">
        <v>0.000932490364019352</v>
      </c>
      <c r="K94">
        <v>0</v>
      </c>
      <c r="L94">
        <v>6295</v>
      </c>
      <c r="M94" s="10">
        <v>0</v>
      </c>
      <c r="N94" s="10">
        <v>1</v>
      </c>
      <c r="O94" s="9">
        <v>0.039927825</v>
      </c>
      <c r="P94" s="9">
        <v>0</v>
      </c>
      <c r="Q94" s="9">
        <v>0.039927825</v>
      </c>
      <c r="R94" t="s">
        <v>102</v>
      </c>
      <c r="S94" s="8">
        <v>25</v>
      </c>
      <c r="T94" t="s">
        <v>241</v>
      </c>
      <c r="U94" t="s">
        <v>465</v>
      </c>
      <c r="V94" s="8">
        <v>4</v>
      </c>
      <c r="W94" t="s">
        <v>40</v>
      </c>
      <c r="X94" t="s">
        <v>31</v>
      </c>
      <c r="Y94" s="8">
        <v>687</v>
      </c>
      <c r="Z94" s="8">
        <v>410</v>
      </c>
      <c r="AA94" s="8">
        <v>277</v>
      </c>
    </row>
    <row r="95" ht="46" customHeight="1" spans="1:27">
      <c r="A95" t="s">
        <v>466</v>
      </c>
      <c r="B95" t="str">
        <f>_xlfn.DISPIMG("ID_9CBC35CA0DD0477B9E981D5EE1D9740B",1)</f>
        <v>=DISPIMG("ID_9CBC35CA0DD0477B9E981D5EE1D9740B",1)</v>
      </c>
      <c r="C95" t="s">
        <v>467</v>
      </c>
      <c r="D95" t="s">
        <v>466</v>
      </c>
      <c r="E95" s="7">
        <v>89.97</v>
      </c>
      <c r="F95" s="7" t="s">
        <v>27</v>
      </c>
      <c r="G95" s="8" t="s">
        <v>94</v>
      </c>
      <c r="H95">
        <v>3000</v>
      </c>
      <c r="I95" s="8">
        <v>6248</v>
      </c>
      <c r="J95" s="9">
        <v>0.000925528164319763</v>
      </c>
      <c r="K95">
        <v>0</v>
      </c>
      <c r="L95">
        <v>6248</v>
      </c>
      <c r="M95" s="10">
        <v>0</v>
      </c>
      <c r="N95" s="10">
        <v>1</v>
      </c>
      <c r="O95" s="9">
        <v>0.038712732</v>
      </c>
      <c r="P95" s="9">
        <v>0</v>
      </c>
      <c r="Q95" s="9">
        <v>0.038712732</v>
      </c>
      <c r="R95" t="s">
        <v>67</v>
      </c>
      <c r="S95" s="8">
        <v>10</v>
      </c>
      <c r="T95" t="s">
        <v>118</v>
      </c>
      <c r="U95" t="s">
        <v>465</v>
      </c>
      <c r="V95" s="8">
        <v>7</v>
      </c>
      <c r="W95" t="s">
        <v>111</v>
      </c>
      <c r="X95" t="s">
        <v>468</v>
      </c>
      <c r="Y95" s="8">
        <v>5077</v>
      </c>
      <c r="Z95" s="8">
        <v>3191</v>
      </c>
      <c r="AA95" s="8">
        <v>1886</v>
      </c>
    </row>
    <row r="96" ht="46" customHeight="1" spans="1:27">
      <c r="A96" t="s">
        <v>469</v>
      </c>
      <c r="B96" t="str">
        <f>_xlfn.DISPIMG("ID_DA19CB2BD5864F6480A3485BAE45DA1A",1)</f>
        <v>=DISPIMG("ID_DA19CB2BD5864F6480A3485BAE45DA1A",1)</v>
      </c>
      <c r="C96" t="s">
        <v>470</v>
      </c>
      <c r="D96" t="s">
        <v>469</v>
      </c>
      <c r="E96" s="7">
        <v>93.48</v>
      </c>
      <c r="F96" s="7" t="s">
        <v>87</v>
      </c>
      <c r="G96" s="8" t="s">
        <v>471</v>
      </c>
      <c r="H96">
        <v>400</v>
      </c>
      <c r="I96" s="8">
        <v>6221</v>
      </c>
      <c r="J96" s="9">
        <v>0.000921528602790213</v>
      </c>
      <c r="K96">
        <v>104</v>
      </c>
      <c r="L96">
        <v>6117</v>
      </c>
      <c r="M96" s="10">
        <v>0.01671757</v>
      </c>
      <c r="N96" s="10">
        <v>0.98328245</v>
      </c>
      <c r="O96" s="9">
        <v>0.039427996</v>
      </c>
      <c r="P96" s="9">
        <v>0.000638357</v>
      </c>
      <c r="Q96" s="9">
        <v>0.03878964</v>
      </c>
      <c r="R96" t="s">
        <v>67</v>
      </c>
      <c r="S96" s="8">
        <v>70</v>
      </c>
      <c r="T96" t="s">
        <v>330</v>
      </c>
      <c r="U96" t="s">
        <v>472</v>
      </c>
      <c r="V96" s="8">
        <v>15</v>
      </c>
      <c r="W96" t="s">
        <v>69</v>
      </c>
      <c r="X96" t="s">
        <v>309</v>
      </c>
      <c r="Y96" s="8">
        <v>2117</v>
      </c>
      <c r="Z96" s="8">
        <v>914</v>
      </c>
      <c r="AA96" s="8">
        <v>1203</v>
      </c>
    </row>
    <row r="97" ht="46" customHeight="1" spans="1:27">
      <c r="A97" t="s">
        <v>473</v>
      </c>
      <c r="B97" t="str">
        <f>_xlfn.DISPIMG("ID_CD3D3264E3EC4552B7CF821608536D04",1)</f>
        <v>=DISPIMG("ID_CD3D3264E3EC4552B7CF821608536D04",1)</v>
      </c>
      <c r="C97" t="s">
        <v>64</v>
      </c>
      <c r="D97" t="s">
        <v>473</v>
      </c>
      <c r="E97" s="7">
        <v>109.99</v>
      </c>
      <c r="F97" s="7" t="s">
        <v>65</v>
      </c>
      <c r="G97" s="8" t="s">
        <v>402</v>
      </c>
      <c r="H97">
        <v>200</v>
      </c>
      <c r="I97" s="8">
        <v>6154</v>
      </c>
      <c r="J97" s="9">
        <v>0.000911603764920586</v>
      </c>
      <c r="K97">
        <v>811</v>
      </c>
      <c r="L97">
        <v>5343</v>
      </c>
      <c r="M97" s="10">
        <v>0.1317842</v>
      </c>
      <c r="N97" s="10">
        <v>0.8682158</v>
      </c>
      <c r="O97" s="9">
        <v>0.04009529</v>
      </c>
      <c r="P97" s="9">
        <v>0.005008232</v>
      </c>
      <c r="Q97" s="9">
        <v>0.035087056</v>
      </c>
      <c r="R97" t="s">
        <v>38</v>
      </c>
      <c r="S97" s="8">
        <v>27</v>
      </c>
      <c r="T97" t="s">
        <v>474</v>
      </c>
      <c r="U97" t="s">
        <v>475</v>
      </c>
      <c r="V97" s="8">
        <v>2</v>
      </c>
      <c r="W97" t="s">
        <v>39</v>
      </c>
      <c r="X97" t="s">
        <v>242</v>
      </c>
      <c r="Y97" s="8">
        <v>1076</v>
      </c>
      <c r="Z97" s="8">
        <v>423</v>
      </c>
      <c r="AA97" s="8">
        <v>653</v>
      </c>
    </row>
    <row r="98" ht="46" customHeight="1" spans="1:27">
      <c r="A98" t="s">
        <v>476</v>
      </c>
      <c r="B98" t="str">
        <f>_xlfn.DISPIMG("ID_FC82F07725104B9BAE470322324416A2",1)</f>
        <v>=DISPIMG("ID_FC82F07725104B9BAE470322324416A2",1)</v>
      </c>
      <c r="C98" t="s">
        <v>477</v>
      </c>
      <c r="D98" t="s">
        <v>476</v>
      </c>
      <c r="E98" s="7">
        <v>45.99</v>
      </c>
      <c r="F98" s="7" t="s">
        <v>100</v>
      </c>
      <c r="G98" s="8" t="s">
        <v>478</v>
      </c>
      <c r="H98">
        <v>50</v>
      </c>
      <c r="I98" s="8">
        <v>6105</v>
      </c>
      <c r="J98" s="9">
        <v>0.000904345301403994</v>
      </c>
      <c r="K98">
        <v>6105</v>
      </c>
      <c r="L98">
        <v>0</v>
      </c>
      <c r="M98" s="10">
        <v>1</v>
      </c>
      <c r="N98" s="10">
        <v>0</v>
      </c>
      <c r="O98" s="9">
        <v>0.038290102</v>
      </c>
      <c r="P98" s="9">
        <v>0.038290102</v>
      </c>
      <c r="Q98" s="9">
        <v>0</v>
      </c>
      <c r="R98" t="s">
        <v>95</v>
      </c>
      <c r="S98" s="8">
        <v>92</v>
      </c>
      <c r="T98" t="s">
        <v>479</v>
      </c>
      <c r="U98" t="s">
        <v>31</v>
      </c>
      <c r="V98" s="8" t="s">
        <v>97</v>
      </c>
      <c r="W98" t="s">
        <v>97</v>
      </c>
      <c r="X98" t="s">
        <v>97</v>
      </c>
      <c r="Y98" s="8">
        <v>519</v>
      </c>
      <c r="Z98" s="8">
        <v>513</v>
      </c>
      <c r="AA98" s="8">
        <v>6</v>
      </c>
    </row>
    <row r="99" ht="46" customHeight="1" spans="1:27">
      <c r="A99" t="s">
        <v>480</v>
      </c>
      <c r="B99" t="str">
        <f>_xlfn.DISPIMG("ID_5384EC9055284CE283091D4C8E882D57",1)</f>
        <v>=DISPIMG("ID_5384EC9055284CE283091D4C8E882D57",1)</v>
      </c>
      <c r="C99" t="s">
        <v>481</v>
      </c>
      <c r="D99" t="s">
        <v>480</v>
      </c>
      <c r="E99" s="7">
        <v>169.99</v>
      </c>
      <c r="F99" s="7" t="s">
        <v>107</v>
      </c>
      <c r="G99" s="8" t="s">
        <v>482</v>
      </c>
      <c r="H99">
        <v>300</v>
      </c>
      <c r="I99" s="8">
        <v>5891</v>
      </c>
      <c r="J99" s="9">
        <v>0.000872645072984591</v>
      </c>
      <c r="K99">
        <v>0</v>
      </c>
      <c r="L99">
        <v>5891</v>
      </c>
      <c r="M99" s="10">
        <v>0</v>
      </c>
      <c r="N99" s="10">
        <v>1</v>
      </c>
      <c r="O99" s="9">
        <v>0.036402356</v>
      </c>
      <c r="P99" s="9">
        <v>0</v>
      </c>
      <c r="Q99" s="9">
        <v>0.036402356</v>
      </c>
      <c r="R99" t="s">
        <v>67</v>
      </c>
      <c r="S99" s="8">
        <v>116</v>
      </c>
      <c r="T99" t="s">
        <v>483</v>
      </c>
      <c r="U99" t="s">
        <v>484</v>
      </c>
      <c r="V99" s="8">
        <v>2</v>
      </c>
      <c r="W99" t="s">
        <v>39</v>
      </c>
      <c r="X99" t="s">
        <v>485</v>
      </c>
      <c r="Y99" s="8">
        <v>2602</v>
      </c>
      <c r="Z99" s="8">
        <v>1455</v>
      </c>
      <c r="AA99" s="8">
        <v>1147</v>
      </c>
    </row>
    <row r="100" ht="46" customHeight="1" spans="1:27">
      <c r="A100" t="s">
        <v>486</v>
      </c>
      <c r="B100" t="str">
        <f>_xlfn.DISPIMG("ID_D673F93622D340FCA721F971956B9E03",1)</f>
        <v>=DISPIMG("ID_D673F93622D340FCA721F971956B9E03",1)</v>
      </c>
      <c r="C100" t="s">
        <v>487</v>
      </c>
      <c r="D100" t="s">
        <v>486</v>
      </c>
      <c r="E100" s="7">
        <v>89.99</v>
      </c>
      <c r="F100" s="7" t="s">
        <v>36</v>
      </c>
      <c r="G100" s="8" t="s">
        <v>488</v>
      </c>
      <c r="H100">
        <v>0</v>
      </c>
      <c r="I100" s="8">
        <v>5870</v>
      </c>
      <c r="J100" s="9">
        <v>0.000869534302906052</v>
      </c>
      <c r="K100">
        <v>0</v>
      </c>
      <c r="L100">
        <v>5870</v>
      </c>
      <c r="M100" s="10">
        <v>0</v>
      </c>
      <c r="N100" s="10">
        <v>1</v>
      </c>
      <c r="O100" s="9">
        <v>0.036320493</v>
      </c>
      <c r="P100" s="9">
        <v>0</v>
      </c>
      <c r="Q100" s="9">
        <v>0.036320493</v>
      </c>
      <c r="R100" t="s">
        <v>439</v>
      </c>
      <c r="S100" s="8" t="s">
        <v>97</v>
      </c>
      <c r="T100" t="s">
        <v>97</v>
      </c>
      <c r="U100" t="s">
        <v>97</v>
      </c>
      <c r="V100" s="8">
        <v>11</v>
      </c>
      <c r="W100" t="s">
        <v>46</v>
      </c>
      <c r="X100" t="s">
        <v>331</v>
      </c>
      <c r="Y100" s="8">
        <v>797</v>
      </c>
      <c r="Z100" s="8">
        <v>71</v>
      </c>
      <c r="AA100" s="8">
        <v>726</v>
      </c>
    </row>
    <row r="101" ht="46" customHeight="1" spans="1:27">
      <c r="A101" t="s">
        <v>489</v>
      </c>
      <c r="B101" t="str">
        <f>_xlfn.DISPIMG("ID_5D453B0089C049A29B5BABC02F7C6F17",1)</f>
        <v>=DISPIMG("ID_5D453B0089C049A29B5BABC02F7C6F17",1)</v>
      </c>
      <c r="C101" t="s">
        <v>490</v>
      </c>
      <c r="D101" t="s">
        <v>489</v>
      </c>
      <c r="E101" s="7">
        <v>129.99</v>
      </c>
      <c r="F101" s="7" t="s">
        <v>27</v>
      </c>
      <c r="G101" s="8" t="s">
        <v>270</v>
      </c>
      <c r="H101">
        <v>1000</v>
      </c>
      <c r="I101" s="8">
        <v>5785</v>
      </c>
      <c r="J101" s="9">
        <v>0.000856943090683392</v>
      </c>
      <c r="K101">
        <v>4385</v>
      </c>
      <c r="L101">
        <v>1400</v>
      </c>
      <c r="M101" s="10">
        <v>0.75799483</v>
      </c>
      <c r="N101" s="10">
        <v>0.24200518</v>
      </c>
      <c r="O101" s="9">
        <v>0.035740055</v>
      </c>
      <c r="P101" s="9">
        <v>0.027098201</v>
      </c>
      <c r="Q101" s="9">
        <v>0.008641855</v>
      </c>
      <c r="R101" t="s">
        <v>491</v>
      </c>
      <c r="S101" s="8">
        <v>69</v>
      </c>
      <c r="T101" t="s">
        <v>396</v>
      </c>
      <c r="U101" t="s">
        <v>492</v>
      </c>
      <c r="V101" s="8">
        <v>9</v>
      </c>
      <c r="W101" t="s">
        <v>267</v>
      </c>
      <c r="X101" t="s">
        <v>446</v>
      </c>
      <c r="Y101" s="8">
        <v>958</v>
      </c>
      <c r="Z101" s="8">
        <v>692</v>
      </c>
      <c r="AA101" s="8">
        <v>266</v>
      </c>
    </row>
    <row r="102" ht="46" customHeight="1" spans="1:27">
      <c r="A102" t="s">
        <v>493</v>
      </c>
      <c r="B102" t="str">
        <f>_xlfn.DISPIMG("ID_B37FCCC2FD124A24834007A1B9B4EF92",1)</f>
        <v>=DISPIMG("ID_B37FCCC2FD124A24834007A1B9B4EF92",1)</v>
      </c>
      <c r="C102" t="s">
        <v>494</v>
      </c>
      <c r="D102" t="s">
        <v>493</v>
      </c>
      <c r="E102" s="7">
        <v>599</v>
      </c>
      <c r="F102" s="7" t="s">
        <v>65</v>
      </c>
      <c r="G102" s="8" t="s">
        <v>383</v>
      </c>
      <c r="H102">
        <v>0</v>
      </c>
      <c r="I102" s="8">
        <v>5766</v>
      </c>
      <c r="J102" s="9">
        <v>0.000854128584421856</v>
      </c>
      <c r="K102">
        <v>5766</v>
      </c>
      <c r="L102">
        <v>0</v>
      </c>
      <c r="M102" s="10">
        <v>1</v>
      </c>
      <c r="N102" s="10">
        <v>0</v>
      </c>
      <c r="O102" s="9">
        <v>0.035630874</v>
      </c>
      <c r="P102" s="9">
        <v>0.035630874</v>
      </c>
      <c r="Q102" s="9">
        <v>0</v>
      </c>
      <c r="R102" t="s">
        <v>95</v>
      </c>
      <c r="S102" s="8">
        <v>85</v>
      </c>
      <c r="T102" t="s">
        <v>495</v>
      </c>
      <c r="U102" t="s">
        <v>496</v>
      </c>
      <c r="V102" s="8" t="s">
        <v>97</v>
      </c>
      <c r="W102" t="s">
        <v>97</v>
      </c>
      <c r="X102" t="s">
        <v>97</v>
      </c>
      <c r="Y102" s="8">
        <v>324</v>
      </c>
      <c r="Z102" s="8">
        <v>324</v>
      </c>
      <c r="AA102" s="8">
        <v>0</v>
      </c>
    </row>
    <row r="103" ht="46" customHeight="1" spans="1:27">
      <c r="A103" t="s">
        <v>497</v>
      </c>
      <c r="B103" t="str">
        <f>_xlfn.DISPIMG("ID_4B3796C4B8E846E98FE868B54286A590",1)</f>
        <v>=DISPIMG("ID_4B3796C4B8E846E98FE868B54286A590",1)</v>
      </c>
      <c r="C103" t="s">
        <v>498</v>
      </c>
      <c r="D103" t="s">
        <v>497</v>
      </c>
      <c r="E103" s="7">
        <v>49.99</v>
      </c>
      <c r="F103" s="7" t="s">
        <v>65</v>
      </c>
      <c r="G103" s="8" t="s">
        <v>226</v>
      </c>
      <c r="H103">
        <v>200</v>
      </c>
      <c r="I103" s="8">
        <v>5574</v>
      </c>
      <c r="J103" s="9">
        <v>0.000825687257989495</v>
      </c>
      <c r="K103">
        <v>4683</v>
      </c>
      <c r="L103">
        <v>891</v>
      </c>
      <c r="M103" s="10">
        <v>0.8401507</v>
      </c>
      <c r="N103" s="10">
        <v>0.1598493</v>
      </c>
      <c r="O103" s="9">
        <v>0.034740865</v>
      </c>
      <c r="P103" s="9">
        <v>0.028984034</v>
      </c>
      <c r="Q103" s="9">
        <v>0.0057568327</v>
      </c>
      <c r="R103" t="s">
        <v>169</v>
      </c>
      <c r="S103" s="8">
        <v>102</v>
      </c>
      <c r="T103" t="s">
        <v>153</v>
      </c>
      <c r="U103" t="s">
        <v>84</v>
      </c>
      <c r="V103" s="8">
        <v>11</v>
      </c>
      <c r="W103" t="s">
        <v>46</v>
      </c>
      <c r="X103" t="s">
        <v>33</v>
      </c>
      <c r="Y103" s="8">
        <v>1161</v>
      </c>
      <c r="Z103" s="8">
        <v>776</v>
      </c>
      <c r="AA103" s="8">
        <v>385</v>
      </c>
    </row>
    <row r="104" ht="46" customHeight="1" spans="1:27">
      <c r="A104" t="s">
        <v>499</v>
      </c>
      <c r="B104" t="str">
        <f>_xlfn.DISPIMG("ID_4DF4ED990203495C9079C8F9C45D4FDE",1)</f>
        <v>=DISPIMG("ID_4DF4ED990203495C9079C8F9C45D4FDE",1)</v>
      </c>
      <c r="C104" t="s">
        <v>500</v>
      </c>
      <c r="D104" t="s">
        <v>499</v>
      </c>
      <c r="E104" s="7">
        <v>88.99</v>
      </c>
      <c r="F104" s="7" t="s">
        <v>27</v>
      </c>
      <c r="G104" s="8" t="s">
        <v>501</v>
      </c>
      <c r="H104">
        <v>100</v>
      </c>
      <c r="I104" s="8">
        <v>5236</v>
      </c>
      <c r="J104" s="9">
        <v>0.000775618672915858</v>
      </c>
      <c r="K104">
        <v>5236</v>
      </c>
      <c r="L104">
        <v>0</v>
      </c>
      <c r="M104" s="10">
        <v>1</v>
      </c>
      <c r="N104" s="10">
        <v>0</v>
      </c>
      <c r="O104" s="9">
        <v>0.032859713</v>
      </c>
      <c r="P104" s="9">
        <v>0.032859713</v>
      </c>
      <c r="Q104" s="9">
        <v>0</v>
      </c>
      <c r="R104" t="s">
        <v>38</v>
      </c>
      <c r="S104" s="8">
        <v>99</v>
      </c>
      <c r="T104" t="s">
        <v>502</v>
      </c>
      <c r="U104" t="s">
        <v>31</v>
      </c>
      <c r="V104" s="8">
        <v>12</v>
      </c>
      <c r="W104" t="s">
        <v>76</v>
      </c>
      <c r="X104" t="s">
        <v>503</v>
      </c>
      <c r="Y104" s="8">
        <v>1116</v>
      </c>
      <c r="Z104" s="8">
        <v>1084</v>
      </c>
      <c r="AA104" s="8">
        <v>32</v>
      </c>
    </row>
    <row r="105" ht="46" customHeight="1" spans="1:27">
      <c r="A105" t="s">
        <v>504</v>
      </c>
      <c r="B105" t="str">
        <f>_xlfn.DISPIMG("ID_3911D4EB32B745219417BC4171BAFA38",1)</f>
        <v>=DISPIMG("ID_3911D4EB32B745219417BC4171BAFA38",1)</v>
      </c>
      <c r="C105" t="s">
        <v>505</v>
      </c>
      <c r="D105" t="s">
        <v>504</v>
      </c>
      <c r="E105" s="7">
        <v>129.99</v>
      </c>
      <c r="F105" s="7" t="s">
        <v>107</v>
      </c>
      <c r="G105" s="8" t="s">
        <v>438</v>
      </c>
      <c r="H105">
        <v>0</v>
      </c>
      <c r="I105" s="8">
        <v>5208</v>
      </c>
      <c r="J105" s="9">
        <v>0.000771470979477805</v>
      </c>
      <c r="K105">
        <v>5208</v>
      </c>
      <c r="L105">
        <v>0</v>
      </c>
      <c r="M105" s="10">
        <v>1</v>
      </c>
      <c r="N105" s="10">
        <v>0</v>
      </c>
      <c r="O105" s="9">
        <v>0.03261625</v>
      </c>
      <c r="P105" s="9">
        <v>0.03261625</v>
      </c>
      <c r="Q105" s="9">
        <v>0</v>
      </c>
      <c r="R105" t="s">
        <v>506</v>
      </c>
      <c r="S105" s="8">
        <v>7</v>
      </c>
      <c r="T105" t="s">
        <v>111</v>
      </c>
      <c r="U105" t="s">
        <v>507</v>
      </c>
      <c r="V105" s="8" t="s">
        <v>97</v>
      </c>
      <c r="W105" t="s">
        <v>97</v>
      </c>
      <c r="X105" t="s">
        <v>97</v>
      </c>
      <c r="Y105" s="8">
        <v>1109</v>
      </c>
      <c r="Z105" s="8">
        <v>1076</v>
      </c>
      <c r="AA105" s="8">
        <v>33</v>
      </c>
    </row>
    <row r="106" ht="46" customHeight="1" spans="1:27">
      <c r="A106" t="s">
        <v>508</v>
      </c>
      <c r="B106" t="str">
        <f>_xlfn.DISPIMG("ID_E7A2DBFEF6A44F03AA2C9359D7917CCA",1)</f>
        <v>=DISPIMG("ID_E7A2DBFEF6A44F03AA2C9359D7917CCA",1)</v>
      </c>
      <c r="C106" t="s">
        <v>509</v>
      </c>
      <c r="D106" t="s">
        <v>508</v>
      </c>
      <c r="E106" s="7">
        <v>52.99</v>
      </c>
      <c r="F106" s="7" t="s">
        <v>195</v>
      </c>
      <c r="G106" s="8" t="s">
        <v>226</v>
      </c>
      <c r="H106">
        <v>300</v>
      </c>
      <c r="I106" s="8">
        <v>5155</v>
      </c>
      <c r="J106" s="9">
        <v>0.000763619988327206</v>
      </c>
      <c r="K106">
        <v>5155</v>
      </c>
      <c r="L106">
        <v>0</v>
      </c>
      <c r="M106" s="10">
        <v>1</v>
      </c>
      <c r="N106" s="10">
        <v>0</v>
      </c>
      <c r="O106" s="9">
        <v>0.031860318</v>
      </c>
      <c r="P106" s="9">
        <v>0.031860318</v>
      </c>
      <c r="Q106" s="9">
        <v>0</v>
      </c>
      <c r="R106" t="s">
        <v>95</v>
      </c>
      <c r="S106" s="8">
        <v>70</v>
      </c>
      <c r="T106" t="s">
        <v>330</v>
      </c>
      <c r="U106" t="s">
        <v>510</v>
      </c>
      <c r="V106" s="8" t="s">
        <v>97</v>
      </c>
      <c r="W106" t="s">
        <v>97</v>
      </c>
      <c r="X106" t="s">
        <v>97</v>
      </c>
      <c r="Y106" s="8">
        <v>603</v>
      </c>
      <c r="Z106" s="8">
        <v>455</v>
      </c>
      <c r="AA106" s="8">
        <v>148</v>
      </c>
    </row>
    <row r="107" ht="46" customHeight="1" spans="1:27">
      <c r="A107" t="s">
        <v>511</v>
      </c>
      <c r="B107" t="str">
        <f>_xlfn.DISPIMG("ID_A0E3E0FC869D49DDA5F683FD5C1AF911",1)</f>
        <v>=DISPIMG("ID_A0E3E0FC869D49DDA5F683FD5C1AF911",1)</v>
      </c>
      <c r="C107" t="s">
        <v>512</v>
      </c>
      <c r="D107" t="s">
        <v>511</v>
      </c>
      <c r="E107" s="7">
        <v>142.49</v>
      </c>
      <c r="F107" s="7" t="s">
        <v>257</v>
      </c>
      <c r="G107" s="8" t="s">
        <v>399</v>
      </c>
      <c r="H107">
        <v>0</v>
      </c>
      <c r="I107" s="8">
        <v>5145</v>
      </c>
      <c r="J107" s="9">
        <v>0.000762138669242187</v>
      </c>
      <c r="K107">
        <v>0</v>
      </c>
      <c r="L107">
        <v>5145</v>
      </c>
      <c r="M107" s="10">
        <v>0</v>
      </c>
      <c r="N107" s="10">
        <v>1</v>
      </c>
      <c r="O107" s="9">
        <v>0.0318005</v>
      </c>
      <c r="P107" s="9">
        <v>0</v>
      </c>
      <c r="Q107" s="9">
        <v>0.0318005</v>
      </c>
      <c r="R107" t="s">
        <v>38</v>
      </c>
      <c r="S107" s="8">
        <v>143</v>
      </c>
      <c r="T107" t="s">
        <v>513</v>
      </c>
      <c r="U107" t="s">
        <v>514</v>
      </c>
      <c r="V107" s="8">
        <v>8</v>
      </c>
      <c r="W107" t="s">
        <v>147</v>
      </c>
      <c r="X107" t="s">
        <v>416</v>
      </c>
      <c r="Y107" s="8">
        <v>626</v>
      </c>
      <c r="Z107" s="8">
        <v>367</v>
      </c>
      <c r="AA107" s="8">
        <v>259</v>
      </c>
    </row>
    <row r="108" ht="46" customHeight="1" spans="1:27">
      <c r="A108" t="s">
        <v>515</v>
      </c>
      <c r="B108" t="str">
        <f>_xlfn.DISPIMG("ID_CF812A6FC17048C993765BDCD550431E",1)</f>
        <v>=DISPIMG("ID_CF812A6FC17048C993765BDCD550431E",1)</v>
      </c>
      <c r="C108" t="s">
        <v>516</v>
      </c>
      <c r="D108" t="s">
        <v>515</v>
      </c>
      <c r="E108" s="7">
        <v>79.99</v>
      </c>
      <c r="F108" s="7" t="s">
        <v>65</v>
      </c>
      <c r="G108" s="8" t="s">
        <v>517</v>
      </c>
      <c r="H108">
        <v>300</v>
      </c>
      <c r="I108" s="8">
        <v>5076</v>
      </c>
      <c r="J108" s="9">
        <v>0.000751917567555557</v>
      </c>
      <c r="K108">
        <v>5076</v>
      </c>
      <c r="L108">
        <v>0</v>
      </c>
      <c r="M108" s="10">
        <v>1</v>
      </c>
      <c r="N108" s="10">
        <v>0</v>
      </c>
      <c r="O108" s="9">
        <v>0.031836957</v>
      </c>
      <c r="P108" s="9">
        <v>0.031836957</v>
      </c>
      <c r="Q108" s="9">
        <v>0</v>
      </c>
      <c r="R108" t="s">
        <v>38</v>
      </c>
      <c r="S108" s="8">
        <v>126</v>
      </c>
      <c r="T108" t="s">
        <v>518</v>
      </c>
      <c r="U108" t="s">
        <v>31</v>
      </c>
      <c r="V108" s="8">
        <v>4</v>
      </c>
      <c r="W108" t="s">
        <v>40</v>
      </c>
      <c r="X108" t="s">
        <v>519</v>
      </c>
      <c r="Y108" s="8">
        <v>546</v>
      </c>
      <c r="Z108" s="8">
        <v>511</v>
      </c>
      <c r="AA108" s="8">
        <v>35</v>
      </c>
    </row>
    <row r="109" ht="46" customHeight="1" spans="1:27">
      <c r="A109" t="s">
        <v>520</v>
      </c>
      <c r="B109" t="str">
        <f>_xlfn.DISPIMG("ID_B5CD26D5F8664AC3B51D8049A2089390",1)</f>
        <v>=DISPIMG("ID_B5CD26D5F8664AC3B51D8049A2089390",1)</v>
      </c>
      <c r="C109" t="s">
        <v>521</v>
      </c>
      <c r="D109" t="s">
        <v>520</v>
      </c>
      <c r="E109" s="7">
        <v>289</v>
      </c>
      <c r="F109" s="7" t="s">
        <v>257</v>
      </c>
      <c r="G109" s="8" t="s">
        <v>522</v>
      </c>
      <c r="H109">
        <v>100</v>
      </c>
      <c r="I109" s="8">
        <v>5070</v>
      </c>
      <c r="J109" s="9">
        <v>0.000751028776104546</v>
      </c>
      <c r="K109">
        <v>5070</v>
      </c>
      <c r="L109">
        <v>0</v>
      </c>
      <c r="M109" s="10">
        <v>1</v>
      </c>
      <c r="N109" s="10">
        <v>0</v>
      </c>
      <c r="O109" s="9">
        <v>0.03179283</v>
      </c>
      <c r="P109" s="9">
        <v>0.03179283</v>
      </c>
      <c r="Q109" s="9">
        <v>0</v>
      </c>
      <c r="R109" t="s">
        <v>169</v>
      </c>
      <c r="S109" s="8">
        <v>119</v>
      </c>
      <c r="T109" t="s">
        <v>523</v>
      </c>
      <c r="U109" t="s">
        <v>31</v>
      </c>
      <c r="V109" s="8">
        <v>3</v>
      </c>
      <c r="W109" t="s">
        <v>56</v>
      </c>
      <c r="X109" t="s">
        <v>524</v>
      </c>
      <c r="Y109" s="8">
        <v>568</v>
      </c>
      <c r="Z109" s="8">
        <v>520</v>
      </c>
      <c r="AA109" s="8">
        <v>48</v>
      </c>
    </row>
    <row r="110" ht="46" customHeight="1" spans="1:27">
      <c r="A110" t="s">
        <v>525</v>
      </c>
      <c r="B110" t="str">
        <f>_xlfn.DISPIMG("ID_DD3C7A14571F476DBA6B899469EC9EC1",1)</f>
        <v>=DISPIMG("ID_DD3C7A14571F476DBA6B899469EC9EC1",1)</v>
      </c>
      <c r="C110" t="s">
        <v>526</v>
      </c>
      <c r="D110" t="s">
        <v>525</v>
      </c>
      <c r="E110" s="7">
        <v>75.99</v>
      </c>
      <c r="F110" s="7" t="s">
        <v>27</v>
      </c>
      <c r="G110" s="8" t="s">
        <v>527</v>
      </c>
      <c r="H110">
        <v>100</v>
      </c>
      <c r="I110" s="8">
        <v>5047</v>
      </c>
      <c r="J110" s="9">
        <v>0.000747621742209002</v>
      </c>
      <c r="K110">
        <v>0</v>
      </c>
      <c r="L110">
        <v>5047</v>
      </c>
      <c r="M110" s="10">
        <v>0</v>
      </c>
      <c r="N110" s="10">
        <v>1</v>
      </c>
      <c r="O110" s="9">
        <v>0.03123697</v>
      </c>
      <c r="P110" s="9">
        <v>0</v>
      </c>
      <c r="Q110" s="9">
        <v>0.03123697</v>
      </c>
      <c r="R110" t="s">
        <v>528</v>
      </c>
      <c r="S110" s="8" t="s">
        <v>97</v>
      </c>
      <c r="T110" t="s">
        <v>97</v>
      </c>
      <c r="U110" t="s">
        <v>97</v>
      </c>
      <c r="V110" s="8">
        <v>12</v>
      </c>
      <c r="W110" t="s">
        <v>351</v>
      </c>
      <c r="X110" t="s">
        <v>529</v>
      </c>
      <c r="Y110" s="8">
        <v>530</v>
      </c>
      <c r="Z110" s="8">
        <v>75</v>
      </c>
      <c r="AA110" s="8">
        <v>455</v>
      </c>
    </row>
    <row r="111" ht="46" customHeight="1" spans="1:27">
      <c r="A111" t="s">
        <v>530</v>
      </c>
      <c r="B111" t="str">
        <f>_xlfn.DISPIMG("ID_DF9208BAA57A40F8B41792C872B05A63",1)</f>
        <v>=DISPIMG("ID_DF9208BAA57A40F8B41792C872B05A63",1)</v>
      </c>
      <c r="C111" t="s">
        <v>531</v>
      </c>
      <c r="D111" t="s">
        <v>530</v>
      </c>
      <c r="E111" s="7">
        <v>77.99</v>
      </c>
      <c r="F111" s="7" t="s">
        <v>65</v>
      </c>
      <c r="G111" s="8" t="s">
        <v>426</v>
      </c>
      <c r="H111">
        <v>50</v>
      </c>
      <c r="I111" s="8">
        <v>4947</v>
      </c>
      <c r="J111" s="9">
        <v>0.000732808551358814</v>
      </c>
      <c r="K111">
        <v>4947</v>
      </c>
      <c r="L111">
        <v>0</v>
      </c>
      <c r="M111" s="10">
        <v>1</v>
      </c>
      <c r="N111" s="10">
        <v>0</v>
      </c>
      <c r="O111" s="9">
        <v>0.0319615</v>
      </c>
      <c r="P111" s="9">
        <v>0.0319615</v>
      </c>
      <c r="Q111" s="9">
        <v>0</v>
      </c>
      <c r="R111" t="s">
        <v>152</v>
      </c>
      <c r="S111" s="8">
        <v>80</v>
      </c>
      <c r="T111" t="s">
        <v>532</v>
      </c>
      <c r="U111" t="s">
        <v>31</v>
      </c>
      <c r="V111" s="8">
        <v>4</v>
      </c>
      <c r="W111" t="s">
        <v>40</v>
      </c>
      <c r="X111" t="s">
        <v>533</v>
      </c>
      <c r="Y111" s="8">
        <v>409</v>
      </c>
      <c r="Z111" s="8">
        <v>401</v>
      </c>
      <c r="AA111" s="8">
        <v>8</v>
      </c>
    </row>
    <row r="112" ht="46" customHeight="1" spans="1:27">
      <c r="A112" t="s">
        <v>534</v>
      </c>
      <c r="B112" t="str">
        <f>_xlfn.DISPIMG("ID_510337977A074E7898E7F4F2B4A209B4",1)</f>
        <v>=DISPIMG("ID_510337977A074E7898E7F4F2B4A209B4",1)</v>
      </c>
      <c r="C112" t="s">
        <v>535</v>
      </c>
      <c r="D112" t="s">
        <v>534</v>
      </c>
      <c r="E112" s="7">
        <v>59.99</v>
      </c>
      <c r="F112" s="7" t="s">
        <v>195</v>
      </c>
      <c r="G112" s="8" t="s">
        <v>536</v>
      </c>
      <c r="H112">
        <v>200</v>
      </c>
      <c r="I112" s="8">
        <v>4925</v>
      </c>
      <c r="J112" s="9">
        <v>0.000729549649371773</v>
      </c>
      <c r="K112">
        <v>4925</v>
      </c>
      <c r="L112">
        <v>0</v>
      </c>
      <c r="M112" s="10">
        <v>1</v>
      </c>
      <c r="N112" s="10">
        <v>0</v>
      </c>
      <c r="O112" s="9">
        <v>0.030900907</v>
      </c>
      <c r="P112" s="9">
        <v>0.030900907</v>
      </c>
      <c r="Q112" s="9">
        <v>0</v>
      </c>
      <c r="R112" t="s">
        <v>152</v>
      </c>
      <c r="S112" s="8">
        <v>115</v>
      </c>
      <c r="T112" t="s">
        <v>483</v>
      </c>
      <c r="U112" t="s">
        <v>31</v>
      </c>
      <c r="V112" s="8">
        <v>11</v>
      </c>
      <c r="W112" t="s">
        <v>46</v>
      </c>
      <c r="X112" t="s">
        <v>537</v>
      </c>
      <c r="Y112" s="8">
        <v>1084</v>
      </c>
      <c r="Z112" s="8">
        <v>1084</v>
      </c>
      <c r="AA112" s="8">
        <v>0</v>
      </c>
    </row>
    <row r="113" ht="46" customHeight="1" spans="1:27">
      <c r="A113" t="s">
        <v>538</v>
      </c>
      <c r="B113" t="str">
        <f>_xlfn.DISPIMG("ID_35E6ACBFC5044B029868F620A4DEC60A",1)</f>
        <v>=DISPIMG("ID_35E6ACBFC5044B029868F620A4DEC60A",1)</v>
      </c>
      <c r="C113" t="s">
        <v>539</v>
      </c>
      <c r="D113" t="s">
        <v>538</v>
      </c>
      <c r="E113" s="7">
        <v>49.99</v>
      </c>
      <c r="F113" s="7" t="s">
        <v>191</v>
      </c>
      <c r="G113" s="8" t="s">
        <v>540</v>
      </c>
      <c r="H113">
        <v>500</v>
      </c>
      <c r="I113" s="8">
        <v>4909</v>
      </c>
      <c r="J113" s="9">
        <v>0.000727179538835742</v>
      </c>
      <c r="K113">
        <v>791</v>
      </c>
      <c r="L113">
        <v>4118</v>
      </c>
      <c r="M113" s="10">
        <v>0.16113262</v>
      </c>
      <c r="N113" s="10">
        <v>0.83886737</v>
      </c>
      <c r="O113" s="9">
        <v>0.030332241</v>
      </c>
      <c r="P113" s="9">
        <v>0.0048854267</v>
      </c>
      <c r="Q113" s="9">
        <v>0.025446814</v>
      </c>
      <c r="R113" t="s">
        <v>102</v>
      </c>
      <c r="S113" s="8">
        <v>76</v>
      </c>
      <c r="T113" t="s">
        <v>301</v>
      </c>
      <c r="U113" t="s">
        <v>529</v>
      </c>
      <c r="V113" s="8">
        <v>2</v>
      </c>
      <c r="W113" t="s">
        <v>174</v>
      </c>
      <c r="X113" t="s">
        <v>529</v>
      </c>
      <c r="Y113" s="8">
        <v>1011</v>
      </c>
      <c r="Z113" s="8">
        <v>161</v>
      </c>
      <c r="AA113" s="8">
        <v>850</v>
      </c>
    </row>
    <row r="114" ht="46" customHeight="1" spans="1:27">
      <c r="A114" t="s">
        <v>541</v>
      </c>
      <c r="B114" t="str">
        <f>_xlfn.DISPIMG("ID_279E8F9188DD48D7BD841BF3E0350A8F",1)</f>
        <v>=DISPIMG("ID_279E8F9188DD48D7BD841BF3E0350A8F",1)</v>
      </c>
      <c r="C114" t="s">
        <v>542</v>
      </c>
      <c r="D114" t="s">
        <v>541</v>
      </c>
      <c r="E114" s="7">
        <v>549.99</v>
      </c>
      <c r="F114" s="7" t="s">
        <v>128</v>
      </c>
      <c r="G114" s="8" t="s">
        <v>543</v>
      </c>
      <c r="H114">
        <v>50</v>
      </c>
      <c r="I114" s="8">
        <v>4866</v>
      </c>
      <c r="J114" s="9">
        <v>0.000720809866770161</v>
      </c>
      <c r="K114">
        <v>0</v>
      </c>
      <c r="L114">
        <v>4866</v>
      </c>
      <c r="M114" s="10">
        <v>0</v>
      </c>
      <c r="N114" s="10">
        <v>1</v>
      </c>
      <c r="O114" s="9">
        <v>0.030071303</v>
      </c>
      <c r="P114" s="9">
        <v>0</v>
      </c>
      <c r="Q114" s="9">
        <v>0.030071303</v>
      </c>
      <c r="R114" t="s">
        <v>439</v>
      </c>
      <c r="S114" s="8" t="s">
        <v>97</v>
      </c>
      <c r="T114" t="s">
        <v>97</v>
      </c>
      <c r="U114" t="s">
        <v>97</v>
      </c>
      <c r="V114" s="8">
        <v>9</v>
      </c>
      <c r="W114" t="s">
        <v>104</v>
      </c>
      <c r="X114" t="s">
        <v>62</v>
      </c>
      <c r="Y114" s="8">
        <v>773</v>
      </c>
      <c r="Z114" s="8">
        <v>218</v>
      </c>
      <c r="AA114" s="8">
        <v>555</v>
      </c>
    </row>
    <row r="115" ht="36" customHeight="1" spans="1:27">
      <c r="A115" t="s">
        <v>544</v>
      </c>
      <c r="B115" t="str">
        <f>_xlfn.DISPIMG("ID_965446AF06224FFDB853F4DF0E8E2D1A",1)</f>
        <v>=DISPIMG("ID_965446AF06224FFDB853F4DF0E8E2D1A",1)</v>
      </c>
      <c r="C115" t="s">
        <v>545</v>
      </c>
      <c r="D115" t="s">
        <v>544</v>
      </c>
      <c r="E115" s="7">
        <v>95.99</v>
      </c>
      <c r="F115" s="7" t="s">
        <v>115</v>
      </c>
      <c r="G115" s="8" t="s">
        <v>376</v>
      </c>
      <c r="H115">
        <v>0</v>
      </c>
      <c r="I115" s="8">
        <v>4828</v>
      </c>
      <c r="J115" s="9">
        <v>0.00071518085424709</v>
      </c>
      <c r="K115">
        <v>4828</v>
      </c>
      <c r="L115">
        <v>0</v>
      </c>
      <c r="M115" s="10">
        <v>1</v>
      </c>
      <c r="N115" s="10">
        <v>0</v>
      </c>
      <c r="O115" s="9">
        <v>0.030294163</v>
      </c>
      <c r="P115" s="9">
        <v>0.030294163</v>
      </c>
      <c r="Q115" s="9">
        <v>0</v>
      </c>
      <c r="R115" t="s">
        <v>152</v>
      </c>
      <c r="S115" s="8">
        <v>122</v>
      </c>
      <c r="T115" t="s">
        <v>546</v>
      </c>
      <c r="U115" t="s">
        <v>31</v>
      </c>
      <c r="V115" s="8">
        <v>9</v>
      </c>
      <c r="W115" t="s">
        <v>547</v>
      </c>
      <c r="X115" t="s">
        <v>232</v>
      </c>
      <c r="Y115" s="8">
        <v>507</v>
      </c>
      <c r="Z115" s="8">
        <v>466</v>
      </c>
      <c r="AA115" s="8">
        <v>41</v>
      </c>
    </row>
    <row r="116" ht="36" customHeight="1" spans="1:27">
      <c r="A116" t="s">
        <v>548</v>
      </c>
      <c r="B116" t="str">
        <f>_xlfn.DISPIMG("ID_02C719F68D6144DF9334E52BBD59D9FF",1)</f>
        <v>=DISPIMG("ID_02C719F68D6144DF9334E52BBD59D9FF",1)</v>
      </c>
      <c r="C116" t="s">
        <v>549</v>
      </c>
      <c r="D116" t="s">
        <v>548</v>
      </c>
      <c r="E116" s="7">
        <v>69.99</v>
      </c>
      <c r="F116" s="7" t="s">
        <v>27</v>
      </c>
      <c r="G116" s="8" t="s">
        <v>478</v>
      </c>
      <c r="H116">
        <v>200</v>
      </c>
      <c r="I116" s="8">
        <v>4800</v>
      </c>
      <c r="J116" s="9">
        <v>0.000711033160809037</v>
      </c>
      <c r="K116">
        <v>4800</v>
      </c>
      <c r="L116">
        <v>0</v>
      </c>
      <c r="M116" s="10">
        <v>1</v>
      </c>
      <c r="N116" s="10">
        <v>0</v>
      </c>
      <c r="O116" s="9">
        <v>0.02965777</v>
      </c>
      <c r="P116" s="9">
        <v>0.02965777</v>
      </c>
      <c r="Q116" s="9">
        <v>0</v>
      </c>
      <c r="R116" t="s">
        <v>95</v>
      </c>
      <c r="S116" s="8">
        <v>104</v>
      </c>
      <c r="T116" t="s">
        <v>231</v>
      </c>
      <c r="U116" t="s">
        <v>550</v>
      </c>
      <c r="V116" s="8" t="s">
        <v>97</v>
      </c>
      <c r="W116" t="s">
        <v>97</v>
      </c>
      <c r="X116" t="s">
        <v>97</v>
      </c>
      <c r="Y116" s="8">
        <v>926</v>
      </c>
      <c r="Z116" s="8">
        <v>926</v>
      </c>
      <c r="AA116" s="8">
        <v>0</v>
      </c>
    </row>
    <row r="117" ht="36" customHeight="1" spans="1:27">
      <c r="A117" t="s">
        <v>551</v>
      </c>
      <c r="B117" t="str">
        <f>_xlfn.DISPIMG("ID_17CF19DF42CC4FF29E1241E775188BAE",1)</f>
        <v>=DISPIMG("ID_17CF19DF42CC4FF29E1241E775188BAE",1)</v>
      </c>
      <c r="C117" t="s">
        <v>552</v>
      </c>
      <c r="D117" t="s">
        <v>551</v>
      </c>
      <c r="E117" s="7">
        <v>326.65</v>
      </c>
      <c r="F117" s="7" t="s">
        <v>65</v>
      </c>
      <c r="G117" s="8" t="s">
        <v>413</v>
      </c>
      <c r="H117">
        <v>50</v>
      </c>
      <c r="I117" s="8">
        <v>4768</v>
      </c>
      <c r="J117" s="9">
        <v>0.000706292939736977</v>
      </c>
      <c r="K117">
        <v>4768</v>
      </c>
      <c r="L117">
        <v>0</v>
      </c>
      <c r="M117" s="10">
        <v>1</v>
      </c>
      <c r="N117" s="10">
        <v>0</v>
      </c>
      <c r="O117" s="9">
        <v>0.03063559</v>
      </c>
      <c r="P117" s="9">
        <v>0.03063559</v>
      </c>
      <c r="Q117" s="9">
        <v>0</v>
      </c>
      <c r="R117" t="s">
        <v>38</v>
      </c>
      <c r="S117" s="8">
        <v>54</v>
      </c>
      <c r="T117" t="s">
        <v>293</v>
      </c>
      <c r="U117" t="s">
        <v>31</v>
      </c>
      <c r="V117" s="8">
        <v>6</v>
      </c>
      <c r="W117" t="s">
        <v>30</v>
      </c>
      <c r="X117" t="s">
        <v>553</v>
      </c>
      <c r="Y117" s="8">
        <v>244</v>
      </c>
      <c r="Z117" s="8">
        <v>243</v>
      </c>
      <c r="AA117" s="8">
        <v>1</v>
      </c>
    </row>
    <row r="118" ht="36" customHeight="1" spans="1:27">
      <c r="A118" t="s">
        <v>554</v>
      </c>
      <c r="B118" t="str">
        <f>_xlfn.DISPIMG("ID_420FE045CADE452BBD9F2971564CFDD1",1)</f>
        <v>=DISPIMG("ID_420FE045CADE452BBD9F2971564CFDD1",1)</v>
      </c>
      <c r="C118" t="s">
        <v>555</v>
      </c>
      <c r="D118" t="s">
        <v>554</v>
      </c>
      <c r="E118" s="7">
        <v>89.99</v>
      </c>
      <c r="F118" s="7" t="s">
        <v>27</v>
      </c>
      <c r="G118" s="8" t="s">
        <v>556</v>
      </c>
      <c r="H118">
        <v>50</v>
      </c>
      <c r="I118" s="8">
        <v>4763</v>
      </c>
      <c r="J118" s="9">
        <v>0.000705552280194468</v>
      </c>
      <c r="K118">
        <v>4763</v>
      </c>
      <c r="L118">
        <v>0</v>
      </c>
      <c r="M118" s="10">
        <v>1</v>
      </c>
      <c r="N118" s="10">
        <v>0</v>
      </c>
      <c r="O118" s="9">
        <v>0.02991793</v>
      </c>
      <c r="P118" s="9">
        <v>0.02991793</v>
      </c>
      <c r="Q118" s="9">
        <v>0</v>
      </c>
      <c r="R118" t="s">
        <v>95</v>
      </c>
      <c r="S118" s="8">
        <v>102</v>
      </c>
      <c r="T118" t="s">
        <v>444</v>
      </c>
      <c r="U118" t="s">
        <v>31</v>
      </c>
      <c r="V118" s="8" t="s">
        <v>97</v>
      </c>
      <c r="W118" t="s">
        <v>97</v>
      </c>
      <c r="X118" t="s">
        <v>97</v>
      </c>
      <c r="Y118" s="8">
        <v>782</v>
      </c>
      <c r="Z118" s="8">
        <v>782</v>
      </c>
      <c r="AA118" s="8">
        <v>0</v>
      </c>
    </row>
    <row r="119" ht="36" customHeight="1" spans="1:27">
      <c r="A119" t="s">
        <v>557</v>
      </c>
      <c r="B119" t="str">
        <f>_xlfn.DISPIMG("ID_761862B928BA41199D9D0408EA6CB345",1)</f>
        <v>=DISPIMG("ID_761862B928BA41199D9D0408EA6CB345",1)</v>
      </c>
      <c r="C119" t="s">
        <v>558</v>
      </c>
      <c r="D119" t="s">
        <v>557</v>
      </c>
      <c r="E119" s="7">
        <v>80.99</v>
      </c>
      <c r="F119" s="7" t="s">
        <v>459</v>
      </c>
      <c r="G119" s="8" t="s">
        <v>459</v>
      </c>
      <c r="H119">
        <v>200</v>
      </c>
      <c r="I119" s="8">
        <v>4731</v>
      </c>
      <c r="J119" s="9">
        <v>0.000700812059122407</v>
      </c>
      <c r="K119">
        <v>4731</v>
      </c>
      <c r="L119">
        <v>0</v>
      </c>
      <c r="M119" s="10">
        <v>1</v>
      </c>
      <c r="N119" s="10">
        <v>0</v>
      </c>
      <c r="O119" s="9">
        <v>0.029220093</v>
      </c>
      <c r="P119" s="9">
        <v>0.029220093</v>
      </c>
      <c r="Q119" s="9">
        <v>0</v>
      </c>
      <c r="R119" t="s">
        <v>152</v>
      </c>
      <c r="S119" s="8">
        <v>88</v>
      </c>
      <c r="T119" t="s">
        <v>559</v>
      </c>
      <c r="U119" t="s">
        <v>550</v>
      </c>
      <c r="V119" s="8">
        <v>9</v>
      </c>
      <c r="W119" t="s">
        <v>104</v>
      </c>
      <c r="X119" t="s">
        <v>560</v>
      </c>
      <c r="Y119" s="8">
        <v>1062</v>
      </c>
      <c r="Z119" s="8">
        <v>1062</v>
      </c>
      <c r="AA119" s="8">
        <v>0</v>
      </c>
    </row>
    <row r="120" ht="36" customHeight="1" spans="1:27">
      <c r="A120" t="s">
        <v>561</v>
      </c>
      <c r="B120" t="str">
        <f>_xlfn.DISPIMG("ID_EDB27B230D55466FAECF7243F25394A3",1)</f>
        <v>=DISPIMG("ID_EDB27B230D55466FAECF7243F25394A3",1)</v>
      </c>
      <c r="C120" t="s">
        <v>562</v>
      </c>
      <c r="D120" t="s">
        <v>561</v>
      </c>
      <c r="E120" s="7">
        <v>343.99</v>
      </c>
      <c r="F120" s="7" t="s">
        <v>80</v>
      </c>
      <c r="G120" s="8" t="s">
        <v>563</v>
      </c>
      <c r="H120">
        <v>100</v>
      </c>
      <c r="I120" s="8">
        <v>4696</v>
      </c>
      <c r="J120" s="9">
        <v>0.000695627442324841</v>
      </c>
      <c r="K120">
        <v>2249</v>
      </c>
      <c r="L120">
        <v>2447</v>
      </c>
      <c r="M120" s="10">
        <v>0.47891822</v>
      </c>
      <c r="N120" s="10">
        <v>0.52108175</v>
      </c>
      <c r="O120" s="9">
        <v>0.029040664</v>
      </c>
      <c r="P120" s="9">
        <v>0.013922871</v>
      </c>
      <c r="Q120" s="9">
        <v>0.015117792</v>
      </c>
      <c r="R120" t="s">
        <v>152</v>
      </c>
      <c r="S120" s="8">
        <v>128</v>
      </c>
      <c r="T120" t="s">
        <v>564</v>
      </c>
      <c r="U120" t="s">
        <v>334</v>
      </c>
      <c r="V120" s="8">
        <v>12</v>
      </c>
      <c r="W120" t="s">
        <v>76</v>
      </c>
      <c r="X120" t="s">
        <v>565</v>
      </c>
      <c r="Y120" s="8">
        <v>991</v>
      </c>
      <c r="Z120" s="8">
        <v>776</v>
      </c>
      <c r="AA120" s="8">
        <v>215</v>
      </c>
    </row>
    <row r="121" ht="36" customHeight="1" spans="1:27">
      <c r="A121" t="s">
        <v>566</v>
      </c>
      <c r="B121" t="str">
        <f>_xlfn.DISPIMG("ID_D8318E4CC23348AFA24E37289CE26209",1)</f>
        <v>=DISPIMG("ID_D8318E4CC23348AFA24E37289CE26209",1)</v>
      </c>
      <c r="C121" t="s">
        <v>567</v>
      </c>
      <c r="D121" t="s">
        <v>566</v>
      </c>
      <c r="E121" s="7">
        <v>189.76</v>
      </c>
      <c r="F121" s="7" t="s">
        <v>36</v>
      </c>
      <c r="G121" s="8" t="s">
        <v>434</v>
      </c>
      <c r="H121">
        <v>100</v>
      </c>
      <c r="I121" s="8">
        <v>4680</v>
      </c>
      <c r="J121" s="9">
        <v>0.000693257331788811</v>
      </c>
      <c r="K121">
        <v>4680</v>
      </c>
      <c r="L121">
        <v>0</v>
      </c>
      <c r="M121" s="10">
        <v>1</v>
      </c>
      <c r="N121" s="10">
        <v>0</v>
      </c>
      <c r="O121" s="9">
        <v>0.02904733</v>
      </c>
      <c r="P121" s="9">
        <v>0.02904733</v>
      </c>
      <c r="Q121" s="9">
        <v>0</v>
      </c>
      <c r="R121" t="s">
        <v>95</v>
      </c>
      <c r="S121" s="8">
        <v>105</v>
      </c>
      <c r="T121" t="s">
        <v>547</v>
      </c>
      <c r="U121" t="s">
        <v>568</v>
      </c>
      <c r="V121" s="8" t="s">
        <v>97</v>
      </c>
      <c r="W121" t="s">
        <v>97</v>
      </c>
      <c r="X121" t="s">
        <v>97</v>
      </c>
      <c r="Y121" s="8">
        <v>761</v>
      </c>
      <c r="Z121" s="8">
        <v>747</v>
      </c>
      <c r="AA121" s="8">
        <v>14</v>
      </c>
    </row>
    <row r="122" ht="36" customHeight="1" spans="1:27">
      <c r="A122" t="s">
        <v>569</v>
      </c>
      <c r="B122" t="str">
        <f>_xlfn.DISPIMG("ID_B05E063462DD42CF838C496557197BBC",1)</f>
        <v>=DISPIMG("ID_B05E063462DD42CF838C496557197BBC",1)</v>
      </c>
      <c r="C122" t="s">
        <v>570</v>
      </c>
      <c r="D122" t="s">
        <v>569</v>
      </c>
      <c r="E122" s="7">
        <v>59.99</v>
      </c>
      <c r="F122" s="7" t="s">
        <v>115</v>
      </c>
      <c r="G122" s="8" t="s">
        <v>376</v>
      </c>
      <c r="H122">
        <v>0</v>
      </c>
      <c r="I122" s="8">
        <v>4589</v>
      </c>
      <c r="J122" s="9">
        <v>0.00067977732811514</v>
      </c>
      <c r="K122">
        <v>4589</v>
      </c>
      <c r="L122">
        <v>0</v>
      </c>
      <c r="M122" s="10">
        <v>1</v>
      </c>
      <c r="N122" s="10">
        <v>0</v>
      </c>
      <c r="O122" s="9">
        <v>0.030664647</v>
      </c>
      <c r="P122" s="9">
        <v>0.030664647</v>
      </c>
      <c r="Q122" s="9">
        <v>0</v>
      </c>
      <c r="R122" t="s">
        <v>95</v>
      </c>
      <c r="S122" s="8">
        <v>3</v>
      </c>
      <c r="T122" t="s">
        <v>56</v>
      </c>
      <c r="U122" t="s">
        <v>347</v>
      </c>
      <c r="V122" s="8" t="s">
        <v>97</v>
      </c>
      <c r="W122" t="s">
        <v>97</v>
      </c>
      <c r="X122" t="s">
        <v>97</v>
      </c>
      <c r="Y122" s="8">
        <v>648</v>
      </c>
      <c r="Z122" s="8">
        <v>640</v>
      </c>
      <c r="AA122" s="8">
        <v>8</v>
      </c>
    </row>
    <row r="123" ht="36" customHeight="1" spans="1:27">
      <c r="A123" t="s">
        <v>571</v>
      </c>
      <c r="B123" t="str">
        <f>_xlfn.DISPIMG("ID_337BF9F933954B16BE61BA2DC137BD82",1)</f>
        <v>=DISPIMG("ID_337BF9F933954B16BE61BA2DC137BD82",1)</v>
      </c>
      <c r="C123" t="s">
        <v>572</v>
      </c>
      <c r="D123" t="s">
        <v>571</v>
      </c>
      <c r="E123" s="7">
        <v>79.99</v>
      </c>
      <c r="F123" s="7" t="s">
        <v>115</v>
      </c>
      <c r="G123" s="8" t="s">
        <v>573</v>
      </c>
      <c r="H123">
        <v>2000</v>
      </c>
      <c r="I123" s="8">
        <v>4584</v>
      </c>
      <c r="J123" s="9">
        <v>0.000679036668572631</v>
      </c>
      <c r="K123">
        <v>4584</v>
      </c>
      <c r="L123">
        <v>0</v>
      </c>
      <c r="M123" s="10">
        <v>1</v>
      </c>
      <c r="N123" s="10">
        <v>0</v>
      </c>
      <c r="O123" s="9">
        <v>0.028919442</v>
      </c>
      <c r="P123" s="9">
        <v>0.028919442</v>
      </c>
      <c r="Q123" s="9">
        <v>0</v>
      </c>
      <c r="R123" t="s">
        <v>95</v>
      </c>
      <c r="S123" s="8">
        <v>108</v>
      </c>
      <c r="T123" t="s">
        <v>574</v>
      </c>
      <c r="U123" t="s">
        <v>31</v>
      </c>
      <c r="V123" s="8" t="s">
        <v>97</v>
      </c>
      <c r="W123" t="s">
        <v>97</v>
      </c>
      <c r="X123" t="s">
        <v>97</v>
      </c>
      <c r="Y123" s="8">
        <v>2237</v>
      </c>
      <c r="Z123" s="8">
        <v>2237</v>
      </c>
      <c r="AA123" s="8">
        <v>0</v>
      </c>
    </row>
    <row r="124" ht="36" customHeight="1" spans="1:27">
      <c r="A124" t="s">
        <v>575</v>
      </c>
      <c r="B124" t="str">
        <f>_xlfn.DISPIMG("ID_92384D84734B4D91B4C598814A6ACD86",1)</f>
        <v>=DISPIMG("ID_92384D84734B4D91B4C598814A6ACD86",1)</v>
      </c>
      <c r="C124" t="s">
        <v>576</v>
      </c>
      <c r="D124" t="s">
        <v>575</v>
      </c>
      <c r="E124" s="7">
        <v>169.99</v>
      </c>
      <c r="F124" s="7" t="s">
        <v>195</v>
      </c>
      <c r="G124" s="8" t="s">
        <v>577</v>
      </c>
      <c r="H124">
        <v>800</v>
      </c>
      <c r="I124" s="8">
        <v>4261</v>
      </c>
      <c r="J124" s="9">
        <v>0.000631190062126522</v>
      </c>
      <c r="K124">
        <v>4139</v>
      </c>
      <c r="L124">
        <v>122</v>
      </c>
      <c r="M124" s="10">
        <v>0.9713682</v>
      </c>
      <c r="N124" s="10">
        <v>0.028631777</v>
      </c>
      <c r="O124" s="9">
        <v>0.026922014</v>
      </c>
      <c r="P124" s="9">
        <v>0.026118442</v>
      </c>
      <c r="Q124" s="9">
        <v>0.00080357137</v>
      </c>
      <c r="R124" t="s">
        <v>55</v>
      </c>
      <c r="S124" s="8">
        <v>100</v>
      </c>
      <c r="T124" t="s">
        <v>578</v>
      </c>
      <c r="U124" t="s">
        <v>31</v>
      </c>
      <c r="V124" s="8">
        <v>14</v>
      </c>
      <c r="W124" t="s">
        <v>135</v>
      </c>
      <c r="X124" t="s">
        <v>579</v>
      </c>
      <c r="Y124" s="8">
        <v>4424</v>
      </c>
      <c r="Z124" s="8">
        <v>3532</v>
      </c>
      <c r="AA124" s="8">
        <v>892</v>
      </c>
    </row>
    <row r="125" ht="36" customHeight="1" spans="1:27">
      <c r="A125" t="s">
        <v>580</v>
      </c>
      <c r="B125" t="str">
        <f>_xlfn.DISPIMG("ID_25AC7F5031B842B797C2A689FD3A4392",1)</f>
        <v>=DISPIMG("ID_25AC7F5031B842B797C2A689FD3A4392",1)</v>
      </c>
      <c r="C125" t="s">
        <v>581</v>
      </c>
      <c r="D125" t="s">
        <v>580</v>
      </c>
      <c r="E125" s="7">
        <v>129.99</v>
      </c>
      <c r="F125" s="7" t="s">
        <v>27</v>
      </c>
      <c r="G125" s="8" t="s">
        <v>582</v>
      </c>
      <c r="H125">
        <v>800</v>
      </c>
      <c r="I125" s="8">
        <v>4231</v>
      </c>
      <c r="J125" s="9">
        <v>0.000626746104871466</v>
      </c>
      <c r="K125">
        <v>0</v>
      </c>
      <c r="L125">
        <v>4231</v>
      </c>
      <c r="M125" s="10">
        <v>0</v>
      </c>
      <c r="N125" s="10">
        <v>1</v>
      </c>
      <c r="O125" s="9">
        <v>0.02617712</v>
      </c>
      <c r="P125" s="9">
        <v>0</v>
      </c>
      <c r="Q125" s="9">
        <v>0.02617712</v>
      </c>
      <c r="R125" t="s">
        <v>67</v>
      </c>
      <c r="S125" s="8">
        <v>26</v>
      </c>
      <c r="T125" t="s">
        <v>83</v>
      </c>
      <c r="U125" t="s">
        <v>465</v>
      </c>
      <c r="V125" s="8">
        <v>4</v>
      </c>
      <c r="W125" t="s">
        <v>40</v>
      </c>
      <c r="X125" t="s">
        <v>550</v>
      </c>
      <c r="Y125" s="8">
        <v>2641</v>
      </c>
      <c r="Z125" s="8">
        <v>2177</v>
      </c>
      <c r="AA125" s="8">
        <v>464</v>
      </c>
    </row>
    <row r="126" ht="36" customHeight="1" spans="1:27">
      <c r="A126" t="s">
        <v>583</v>
      </c>
      <c r="B126" t="str">
        <f>_xlfn.DISPIMG("ID_132E91863229493598EE5964EBD1C782",1)</f>
        <v>=DISPIMG("ID_132E91863229493598EE5964EBD1C782",1)</v>
      </c>
      <c r="C126" t="s">
        <v>584</v>
      </c>
      <c r="D126" t="s">
        <v>583</v>
      </c>
      <c r="E126" s="7">
        <v>45.99</v>
      </c>
      <c r="F126" s="7" t="s">
        <v>36</v>
      </c>
      <c r="G126" s="8" t="s">
        <v>585</v>
      </c>
      <c r="H126">
        <v>300</v>
      </c>
      <c r="I126" s="8">
        <v>3846</v>
      </c>
      <c r="J126" s="9">
        <v>0.000569715320098241</v>
      </c>
      <c r="K126">
        <v>3846</v>
      </c>
      <c r="L126">
        <v>0</v>
      </c>
      <c r="M126" s="10">
        <v>1</v>
      </c>
      <c r="N126" s="10">
        <v>0</v>
      </c>
      <c r="O126" s="9">
        <v>0.023761781</v>
      </c>
      <c r="P126" s="9">
        <v>0.023761781</v>
      </c>
      <c r="Q126" s="9">
        <v>0</v>
      </c>
      <c r="R126" t="s">
        <v>152</v>
      </c>
      <c r="S126" s="8">
        <v>137</v>
      </c>
      <c r="T126" t="s">
        <v>586</v>
      </c>
      <c r="U126" t="s">
        <v>31</v>
      </c>
      <c r="V126" s="8">
        <v>9</v>
      </c>
      <c r="W126" t="s">
        <v>104</v>
      </c>
      <c r="X126" t="s">
        <v>587</v>
      </c>
      <c r="Y126" s="8">
        <v>268</v>
      </c>
      <c r="Z126" s="8">
        <v>268</v>
      </c>
      <c r="AA126" s="8">
        <v>0</v>
      </c>
    </row>
    <row r="127" ht="36" customHeight="1" spans="1:27">
      <c r="A127" t="s">
        <v>588</v>
      </c>
      <c r="B127" t="str">
        <f>_xlfn.DISPIMG("ID_C198361FD9324A7C9120B8C5944C7BAA",1)</f>
        <v>=DISPIMG("ID_C198361FD9324A7C9120B8C5944C7BAA",1)</v>
      </c>
      <c r="C127" t="s">
        <v>589</v>
      </c>
      <c r="D127" t="s">
        <v>588</v>
      </c>
      <c r="E127" s="7">
        <v>127.99</v>
      </c>
      <c r="F127" s="7" t="s">
        <v>115</v>
      </c>
      <c r="G127" s="8" t="s">
        <v>100</v>
      </c>
      <c r="H127">
        <v>0</v>
      </c>
      <c r="I127" s="8">
        <v>3772</v>
      </c>
      <c r="J127" s="9">
        <v>0.000558753558869102</v>
      </c>
      <c r="K127">
        <v>0</v>
      </c>
      <c r="L127">
        <v>3772</v>
      </c>
      <c r="M127" s="10">
        <v>0</v>
      </c>
      <c r="N127" s="10">
        <v>1</v>
      </c>
      <c r="O127" s="9">
        <v>0.0234375</v>
      </c>
      <c r="P127" s="9">
        <v>0</v>
      </c>
      <c r="Q127" s="9">
        <v>0.0234375</v>
      </c>
      <c r="R127" t="s">
        <v>590</v>
      </c>
      <c r="S127" s="8" t="s">
        <v>97</v>
      </c>
      <c r="T127" t="s">
        <v>97</v>
      </c>
      <c r="U127" t="s">
        <v>97</v>
      </c>
      <c r="V127" s="8" t="s">
        <v>97</v>
      </c>
      <c r="W127" t="s">
        <v>97</v>
      </c>
      <c r="X127" t="s">
        <v>97</v>
      </c>
      <c r="Y127" s="8">
        <v>261</v>
      </c>
      <c r="Z127" s="8">
        <v>0</v>
      </c>
      <c r="AA127" s="8">
        <v>261</v>
      </c>
    </row>
    <row r="128" ht="36" customHeight="1" spans="1:27">
      <c r="A128" t="s">
        <v>591</v>
      </c>
      <c r="B128" t="str">
        <f>_xlfn.DISPIMG("ID_9FB12A32180C43AD9F21759C584A0241",1)</f>
        <v>=DISPIMG("ID_9FB12A32180C43AD9F21759C584A0241",1)</v>
      </c>
      <c r="C128" t="s">
        <v>592</v>
      </c>
      <c r="D128" t="s">
        <v>591</v>
      </c>
      <c r="E128" s="7">
        <v>41.79</v>
      </c>
      <c r="F128" s="7" t="s">
        <v>257</v>
      </c>
      <c r="G128" s="8" t="s">
        <v>593</v>
      </c>
      <c r="H128">
        <v>100</v>
      </c>
      <c r="I128" s="8">
        <v>3742</v>
      </c>
      <c r="J128" s="9">
        <v>0.000554309601614045</v>
      </c>
      <c r="K128">
        <v>1591</v>
      </c>
      <c r="L128">
        <v>2151</v>
      </c>
      <c r="M128" s="10">
        <v>0.4251737</v>
      </c>
      <c r="N128" s="10">
        <v>0.5748263</v>
      </c>
      <c r="O128" s="9">
        <v>0.024013914</v>
      </c>
      <c r="P128" s="9">
        <v>0.010288384</v>
      </c>
      <c r="Q128" s="9">
        <v>0.013725531</v>
      </c>
      <c r="R128" t="s">
        <v>152</v>
      </c>
      <c r="S128" s="8">
        <v>114</v>
      </c>
      <c r="T128" t="s">
        <v>594</v>
      </c>
      <c r="U128" t="s">
        <v>31</v>
      </c>
      <c r="V128" s="8">
        <v>19</v>
      </c>
      <c r="W128" t="s">
        <v>595</v>
      </c>
      <c r="X128" t="s">
        <v>309</v>
      </c>
      <c r="Y128" s="8">
        <v>843</v>
      </c>
      <c r="Z128" s="8">
        <v>588</v>
      </c>
      <c r="AA128" s="8">
        <v>255</v>
      </c>
    </row>
    <row r="129" ht="36" customHeight="1" spans="1:27">
      <c r="A129" t="s">
        <v>596</v>
      </c>
      <c r="B129" t="str">
        <f>_xlfn.DISPIMG("ID_678E8F351E5648AFBFFB0F0A1321EB5F",1)</f>
        <v>=DISPIMG("ID_678E8F351E5648AFBFFB0F0A1321EB5F",1)</v>
      </c>
      <c r="C129" t="s">
        <v>597</v>
      </c>
      <c r="D129" t="s">
        <v>596</v>
      </c>
      <c r="E129" s="7">
        <v>69.99</v>
      </c>
      <c r="F129" s="7" t="s">
        <v>195</v>
      </c>
      <c r="G129" s="8" t="s">
        <v>598</v>
      </c>
      <c r="H129">
        <v>400</v>
      </c>
      <c r="I129" s="8">
        <v>3656</v>
      </c>
      <c r="J129" s="9">
        <v>0.000541570257482883</v>
      </c>
      <c r="K129">
        <v>3656</v>
      </c>
      <c r="L129">
        <v>0</v>
      </c>
      <c r="M129" s="10">
        <v>1</v>
      </c>
      <c r="N129" s="10">
        <v>0</v>
      </c>
      <c r="O129" s="9">
        <v>0.023036268</v>
      </c>
      <c r="P129" s="9">
        <v>0.023036268</v>
      </c>
      <c r="Q129" s="9">
        <v>0</v>
      </c>
      <c r="R129" t="s">
        <v>152</v>
      </c>
      <c r="S129" s="8">
        <v>130</v>
      </c>
      <c r="T129" t="s">
        <v>599</v>
      </c>
      <c r="U129" t="s">
        <v>31</v>
      </c>
      <c r="V129" s="8">
        <v>1</v>
      </c>
      <c r="W129" t="s">
        <v>47</v>
      </c>
      <c r="X129" t="s">
        <v>600</v>
      </c>
      <c r="Y129" s="8">
        <v>1544</v>
      </c>
      <c r="Z129" s="8">
        <v>1532</v>
      </c>
      <c r="AA129" s="8">
        <v>12</v>
      </c>
    </row>
    <row r="130" ht="36" customHeight="1" spans="1:27">
      <c r="A130" t="s">
        <v>601</v>
      </c>
      <c r="B130" t="str">
        <f>_xlfn.DISPIMG("ID_14581785BEF44B3D873949FBAAF93746",1)</f>
        <v>=DISPIMG("ID_14581785BEF44B3D873949FBAAF93746",1)</v>
      </c>
      <c r="C130" t="s">
        <v>602</v>
      </c>
      <c r="D130" t="s">
        <v>601</v>
      </c>
      <c r="E130" s="7">
        <v>79.99</v>
      </c>
      <c r="F130" s="7" t="s">
        <v>36</v>
      </c>
      <c r="G130" s="8" t="s">
        <v>536</v>
      </c>
      <c r="H130">
        <v>0</v>
      </c>
      <c r="I130" s="8">
        <v>3652</v>
      </c>
      <c r="J130" s="9">
        <v>0.000540977729848876</v>
      </c>
      <c r="K130">
        <v>2697</v>
      </c>
      <c r="L130">
        <v>955</v>
      </c>
      <c r="M130" s="10">
        <v>0.73849946</v>
      </c>
      <c r="N130" s="10">
        <v>0.26150054</v>
      </c>
      <c r="O130" s="9">
        <v>0.02296721</v>
      </c>
      <c r="P130" s="9">
        <v>0.017074352</v>
      </c>
      <c r="Q130" s="9">
        <v>0.0058928574</v>
      </c>
      <c r="R130" t="s">
        <v>506</v>
      </c>
      <c r="S130" s="8">
        <v>113</v>
      </c>
      <c r="T130" t="s">
        <v>603</v>
      </c>
      <c r="U130" t="s">
        <v>31</v>
      </c>
      <c r="V130" s="8" t="s">
        <v>97</v>
      </c>
      <c r="W130" t="s">
        <v>97</v>
      </c>
      <c r="X130" t="s">
        <v>97</v>
      </c>
      <c r="Y130" s="8">
        <v>215</v>
      </c>
      <c r="Z130" s="8">
        <v>166</v>
      </c>
      <c r="AA130" s="8">
        <v>49</v>
      </c>
    </row>
    <row r="131" ht="36" customHeight="1" spans="1:27">
      <c r="A131" t="s">
        <v>604</v>
      </c>
      <c r="B131" t="str">
        <f>_xlfn.DISPIMG("ID_A8847CA679B24F89B45ACA507EF94DED",1)</f>
        <v>=DISPIMG("ID_A8847CA679B24F89B45ACA507EF94DED",1)</v>
      </c>
      <c r="C131" t="s">
        <v>605</v>
      </c>
      <c r="D131" t="s">
        <v>604</v>
      </c>
      <c r="E131" s="7">
        <v>69.99</v>
      </c>
      <c r="F131" s="7" t="s">
        <v>191</v>
      </c>
      <c r="G131" s="8" t="s">
        <v>344</v>
      </c>
      <c r="H131">
        <v>50</v>
      </c>
      <c r="I131" s="8">
        <v>3611</v>
      </c>
      <c r="J131" s="9">
        <v>0.000534904321600299</v>
      </c>
      <c r="K131">
        <v>0</v>
      </c>
      <c r="L131">
        <v>3611</v>
      </c>
      <c r="M131" s="10">
        <v>0</v>
      </c>
      <c r="N131" s="10">
        <v>1</v>
      </c>
      <c r="O131" s="9">
        <v>0.022303721</v>
      </c>
      <c r="P131" s="9">
        <v>0</v>
      </c>
      <c r="Q131" s="9">
        <v>0.022303721</v>
      </c>
      <c r="R131" t="s">
        <v>606</v>
      </c>
      <c r="S131" s="8" t="s">
        <v>97</v>
      </c>
      <c r="T131" t="s">
        <v>97</v>
      </c>
      <c r="U131" t="s">
        <v>97</v>
      </c>
      <c r="V131" s="8">
        <v>19</v>
      </c>
      <c r="W131" t="s">
        <v>595</v>
      </c>
      <c r="X131" t="s">
        <v>264</v>
      </c>
      <c r="Y131" s="8">
        <v>255</v>
      </c>
      <c r="Z131" s="8">
        <v>142</v>
      </c>
      <c r="AA131" s="8">
        <v>113</v>
      </c>
    </row>
    <row r="132" ht="36" customHeight="1" spans="1:27">
      <c r="A132" t="s">
        <v>607</v>
      </c>
      <c r="B132" t="str">
        <f>_xlfn.DISPIMG("ID_94906A89710D4084A9C615385391A6BE",1)</f>
        <v>=DISPIMG("ID_94906A89710D4084A9C615385391A6BE",1)</v>
      </c>
      <c r="C132" t="s">
        <v>608</v>
      </c>
      <c r="D132" t="s">
        <v>607</v>
      </c>
      <c r="E132" s="7">
        <v>279</v>
      </c>
      <c r="F132" s="7" t="s">
        <v>191</v>
      </c>
      <c r="G132" s="8" t="s">
        <v>598</v>
      </c>
      <c r="H132">
        <v>300</v>
      </c>
      <c r="I132" s="8">
        <v>3574</v>
      </c>
      <c r="J132" s="9">
        <v>0.000529423440985729</v>
      </c>
      <c r="K132">
        <v>0</v>
      </c>
      <c r="L132">
        <v>3574</v>
      </c>
      <c r="M132" s="10">
        <v>0</v>
      </c>
      <c r="N132" s="10">
        <v>1</v>
      </c>
      <c r="O132" s="9">
        <v>0.022648811</v>
      </c>
      <c r="P132" s="9">
        <v>0</v>
      </c>
      <c r="Q132" s="9">
        <v>0.022648811</v>
      </c>
      <c r="R132" t="s">
        <v>609</v>
      </c>
      <c r="S132" s="8" t="s">
        <v>97</v>
      </c>
      <c r="T132" t="s">
        <v>97</v>
      </c>
      <c r="U132" t="s">
        <v>97</v>
      </c>
      <c r="V132" s="8">
        <v>20</v>
      </c>
      <c r="W132" t="s">
        <v>231</v>
      </c>
      <c r="X132" t="s">
        <v>610</v>
      </c>
      <c r="Y132" s="8">
        <v>1925</v>
      </c>
      <c r="Z132" s="8">
        <v>1031</v>
      </c>
      <c r="AA132" s="8">
        <v>894</v>
      </c>
    </row>
    <row r="133" ht="36" customHeight="1" spans="1:27">
      <c r="A133" t="s">
        <v>611</v>
      </c>
      <c r="B133" t="str">
        <f>_xlfn.DISPIMG("ID_9FB6FD2D5AA74164AF7AC918D2C6D33D",1)</f>
        <v>=DISPIMG("ID_9FB6FD2D5AA74164AF7AC918D2C6D33D",1)</v>
      </c>
      <c r="C133" t="s">
        <v>612</v>
      </c>
      <c r="D133" t="s">
        <v>611</v>
      </c>
      <c r="E133" s="7">
        <v>76.49</v>
      </c>
      <c r="F133" s="7" t="s">
        <v>36</v>
      </c>
      <c r="G133" s="8" t="s">
        <v>54</v>
      </c>
      <c r="H133">
        <v>400</v>
      </c>
      <c r="I133" s="8">
        <v>3405</v>
      </c>
      <c r="J133" s="9">
        <v>0.000504389148448911</v>
      </c>
      <c r="K133">
        <v>3405</v>
      </c>
      <c r="L133">
        <v>0</v>
      </c>
      <c r="M133" s="10">
        <v>1</v>
      </c>
      <c r="N133" s="10">
        <v>0</v>
      </c>
      <c r="O133" s="9">
        <v>0.023588141</v>
      </c>
      <c r="P133" s="9">
        <v>0.023588141</v>
      </c>
      <c r="Q133" s="9">
        <v>0</v>
      </c>
      <c r="R133" t="s">
        <v>95</v>
      </c>
      <c r="S133" s="8">
        <v>15</v>
      </c>
      <c r="T133" t="s">
        <v>613</v>
      </c>
      <c r="U133" t="s">
        <v>31</v>
      </c>
      <c r="V133" s="8" t="s">
        <v>97</v>
      </c>
      <c r="W133" t="s">
        <v>97</v>
      </c>
      <c r="X133" t="s">
        <v>97</v>
      </c>
      <c r="Y133" s="8">
        <v>623</v>
      </c>
      <c r="Z133" s="8">
        <v>598</v>
      </c>
      <c r="AA133" s="8">
        <v>25</v>
      </c>
    </row>
    <row r="134" ht="36" customHeight="1" spans="1:27">
      <c r="A134" t="s">
        <v>614</v>
      </c>
      <c r="B134" t="str">
        <f>_xlfn.DISPIMG("ID_586BAF8207804695BDE8E1D666A5333E",1)</f>
        <v>=DISPIMG("ID_586BAF8207804695BDE8E1D666A5333E",1)</v>
      </c>
      <c r="C134" t="s">
        <v>615</v>
      </c>
      <c r="D134" t="s">
        <v>614</v>
      </c>
      <c r="E134" s="7">
        <v>569.99</v>
      </c>
      <c r="F134" s="7" t="s">
        <v>107</v>
      </c>
      <c r="G134" s="8" t="s">
        <v>616</v>
      </c>
      <c r="H134">
        <v>0</v>
      </c>
      <c r="I134" s="8">
        <v>3216</v>
      </c>
      <c r="J134" s="9">
        <v>0.000476392217742055</v>
      </c>
      <c r="K134">
        <v>0</v>
      </c>
      <c r="L134">
        <v>3216</v>
      </c>
      <c r="M134" s="10">
        <v>0</v>
      </c>
      <c r="N134" s="10">
        <v>1</v>
      </c>
      <c r="O134" s="9">
        <v>0.019929813</v>
      </c>
      <c r="P134" s="9">
        <v>0</v>
      </c>
      <c r="Q134" s="9">
        <v>0.019929813</v>
      </c>
      <c r="R134" t="s">
        <v>67</v>
      </c>
      <c r="S134" s="8">
        <v>7</v>
      </c>
      <c r="T134" t="s">
        <v>111</v>
      </c>
      <c r="U134" t="s">
        <v>617</v>
      </c>
      <c r="V134" s="8">
        <v>18</v>
      </c>
      <c r="W134" t="s">
        <v>293</v>
      </c>
      <c r="X134" t="s">
        <v>184</v>
      </c>
      <c r="Y134" s="8">
        <v>434</v>
      </c>
      <c r="Z134" s="8">
        <v>107</v>
      </c>
      <c r="AA134" s="8">
        <v>327</v>
      </c>
    </row>
    <row r="135" ht="36" customHeight="1" spans="1:27">
      <c r="A135" t="s">
        <v>618</v>
      </c>
      <c r="B135" t="str">
        <f>_xlfn.DISPIMG("ID_3BF63CDA7B6042DC840837421ED921EC",1)</f>
        <v>=DISPIMG("ID_3BF63CDA7B6042DC840837421ED921EC",1)</v>
      </c>
      <c r="C135" t="s">
        <v>619</v>
      </c>
      <c r="D135" t="s">
        <v>618</v>
      </c>
      <c r="E135" s="7">
        <v>109.99</v>
      </c>
      <c r="F135" s="7" t="s">
        <v>27</v>
      </c>
      <c r="G135" s="8" t="s">
        <v>28</v>
      </c>
      <c r="H135">
        <v>0</v>
      </c>
      <c r="I135" s="8">
        <v>3063</v>
      </c>
      <c r="J135" s="9">
        <v>0.000453728035741267</v>
      </c>
      <c r="K135">
        <v>0</v>
      </c>
      <c r="L135">
        <v>3063</v>
      </c>
      <c r="M135" s="10">
        <v>0</v>
      </c>
      <c r="N135" s="10">
        <v>1</v>
      </c>
      <c r="O135" s="9">
        <v>0.018931262</v>
      </c>
      <c r="P135" s="9">
        <v>0</v>
      </c>
      <c r="Q135" s="9">
        <v>0.018931262</v>
      </c>
      <c r="R135" t="s">
        <v>439</v>
      </c>
      <c r="S135" s="8" t="s">
        <v>97</v>
      </c>
      <c r="T135" t="s">
        <v>97</v>
      </c>
      <c r="U135" t="s">
        <v>97</v>
      </c>
      <c r="V135" s="8">
        <v>1</v>
      </c>
      <c r="W135" t="s">
        <v>47</v>
      </c>
      <c r="X135" t="s">
        <v>142</v>
      </c>
      <c r="Y135" s="8">
        <v>182</v>
      </c>
      <c r="Z135" s="8">
        <v>3</v>
      </c>
      <c r="AA135" s="8">
        <v>179</v>
      </c>
    </row>
    <row r="136" ht="36" customHeight="1" spans="1:27">
      <c r="A136" t="s">
        <v>620</v>
      </c>
      <c r="B136" t="str">
        <f>_xlfn.DISPIMG("ID_F20680F7E5BB47ECB21FC70285C1E712",1)</f>
        <v>=DISPIMG("ID_F20680F7E5BB47ECB21FC70285C1E712",1)</v>
      </c>
      <c r="C136" t="s">
        <v>621</v>
      </c>
      <c r="D136" t="s">
        <v>620</v>
      </c>
      <c r="E136" s="7">
        <v>49.99</v>
      </c>
      <c r="F136" s="7" t="s">
        <v>87</v>
      </c>
      <c r="G136" s="8" t="s">
        <v>157</v>
      </c>
      <c r="H136">
        <v>0</v>
      </c>
      <c r="I136" s="8">
        <v>2999</v>
      </c>
      <c r="J136" s="9">
        <v>0.000444247593597146</v>
      </c>
      <c r="K136">
        <v>0</v>
      </c>
      <c r="L136">
        <v>2999</v>
      </c>
      <c r="M136" s="10">
        <v>0</v>
      </c>
      <c r="N136" s="10">
        <v>1</v>
      </c>
      <c r="O136" s="9">
        <v>0.019899586</v>
      </c>
      <c r="P136" s="9">
        <v>0</v>
      </c>
      <c r="Q136" s="9">
        <v>0.019899586</v>
      </c>
      <c r="R136" t="s">
        <v>606</v>
      </c>
      <c r="S136" s="8" t="s">
        <v>97</v>
      </c>
      <c r="T136" t="s">
        <v>97</v>
      </c>
      <c r="U136" t="s">
        <v>97</v>
      </c>
      <c r="V136" s="8">
        <v>1</v>
      </c>
      <c r="W136" t="s">
        <v>47</v>
      </c>
      <c r="X136" t="s">
        <v>326</v>
      </c>
      <c r="Y136" s="8">
        <v>159</v>
      </c>
      <c r="Z136" s="8">
        <v>17</v>
      </c>
      <c r="AA136" s="8">
        <v>142</v>
      </c>
    </row>
    <row r="137" ht="36" customHeight="1" spans="1:27">
      <c r="A137" t="s">
        <v>622</v>
      </c>
      <c r="B137" t="str">
        <f>_xlfn.DISPIMG("ID_5200520CB40749E2949DAD1D78FEC3DB",1)</f>
        <v>=DISPIMG("ID_5200520CB40749E2949DAD1D78FEC3DB",1)</v>
      </c>
      <c r="C137" t="s">
        <v>623</v>
      </c>
      <c r="D137" t="s">
        <v>622</v>
      </c>
      <c r="E137" s="7">
        <v>41.79</v>
      </c>
      <c r="F137" s="7" t="s">
        <v>65</v>
      </c>
      <c r="G137" s="8" t="s">
        <v>151</v>
      </c>
      <c r="H137">
        <v>100</v>
      </c>
      <c r="I137" s="8">
        <v>2955</v>
      </c>
      <c r="J137" s="9">
        <v>0.000437729789623064</v>
      </c>
      <c r="K137">
        <v>1473</v>
      </c>
      <c r="L137">
        <v>1482</v>
      </c>
      <c r="M137" s="10">
        <v>0.49847716</v>
      </c>
      <c r="N137" s="10">
        <v>0.50152284</v>
      </c>
      <c r="O137" s="9">
        <v>0.019296166</v>
      </c>
      <c r="P137" s="9">
        <v>0.009619141</v>
      </c>
      <c r="Q137" s="9">
        <v>0.0096770255</v>
      </c>
      <c r="R137" t="s">
        <v>362</v>
      </c>
      <c r="S137" s="8">
        <v>31</v>
      </c>
      <c r="T137" t="s">
        <v>292</v>
      </c>
      <c r="U137" t="s">
        <v>70</v>
      </c>
      <c r="V137" s="8">
        <v>14</v>
      </c>
      <c r="W137" t="s">
        <v>135</v>
      </c>
      <c r="X137" t="s">
        <v>624</v>
      </c>
      <c r="Y137" s="8">
        <v>318</v>
      </c>
      <c r="Z137" s="8">
        <v>185</v>
      </c>
      <c r="AA137" s="8">
        <v>133</v>
      </c>
    </row>
    <row r="138" ht="36" customHeight="1" spans="1:27">
      <c r="A138" t="s">
        <v>625</v>
      </c>
      <c r="B138" t="str">
        <f>_xlfn.DISPIMG("ID_148BE5BCA4D04809B67C012311BDC4FA",1)</f>
        <v>=DISPIMG("ID_148BE5BCA4D04809B67C012311BDC4FA",1)</v>
      </c>
      <c r="C138" t="s">
        <v>626</v>
      </c>
      <c r="D138" t="s">
        <v>625</v>
      </c>
      <c r="E138" s="7">
        <v>430</v>
      </c>
      <c r="F138" s="7" t="s">
        <v>128</v>
      </c>
      <c r="G138" s="8" t="s">
        <v>187</v>
      </c>
      <c r="H138">
        <v>0</v>
      </c>
      <c r="I138" s="8">
        <v>2685</v>
      </c>
      <c r="J138" s="9">
        <v>0.000397734174327555</v>
      </c>
      <c r="K138">
        <v>2685</v>
      </c>
      <c r="L138">
        <v>0</v>
      </c>
      <c r="M138" s="10">
        <v>1</v>
      </c>
      <c r="N138" s="10">
        <v>0</v>
      </c>
      <c r="O138" s="9">
        <v>0.016577182</v>
      </c>
      <c r="P138" s="9">
        <v>0.016577182</v>
      </c>
      <c r="Q138" s="9">
        <v>0</v>
      </c>
      <c r="R138" t="s">
        <v>95</v>
      </c>
      <c r="S138" s="8">
        <v>68</v>
      </c>
      <c r="T138" t="s">
        <v>207</v>
      </c>
      <c r="U138" t="s">
        <v>125</v>
      </c>
      <c r="V138" s="8" t="s">
        <v>97</v>
      </c>
      <c r="W138" t="s">
        <v>97</v>
      </c>
      <c r="X138" t="s">
        <v>97</v>
      </c>
      <c r="Y138" s="8">
        <v>850</v>
      </c>
      <c r="Z138" s="8">
        <v>838</v>
      </c>
      <c r="AA138" s="8">
        <v>12</v>
      </c>
    </row>
    <row r="139" ht="36" customHeight="1" spans="1:27">
      <c r="A139" t="s">
        <v>627</v>
      </c>
      <c r="B139" t="str">
        <f>_xlfn.DISPIMG("ID_AD50235C124E45839F11D6ACABF93D54",1)</f>
        <v>=DISPIMG("ID_AD50235C124E45839F11D6ACABF93D54",1)</v>
      </c>
      <c r="C139" t="s">
        <v>628</v>
      </c>
      <c r="D139" t="s">
        <v>627</v>
      </c>
      <c r="E139" s="7">
        <v>79.97</v>
      </c>
      <c r="F139" s="7" t="s">
        <v>65</v>
      </c>
      <c r="G139" s="8" t="s">
        <v>536</v>
      </c>
      <c r="H139">
        <v>100</v>
      </c>
      <c r="I139" s="8">
        <v>2678</v>
      </c>
      <c r="J139" s="9">
        <v>0.000396697250968042</v>
      </c>
      <c r="K139">
        <v>332</v>
      </c>
      <c r="L139">
        <v>2346</v>
      </c>
      <c r="M139" s="10">
        <v>0.12397312</v>
      </c>
      <c r="N139" s="10">
        <v>0.87602687</v>
      </c>
      <c r="O139" s="9">
        <v>0.016644727</v>
      </c>
      <c r="P139" s="9">
        <v>0.0020465124</v>
      </c>
      <c r="Q139" s="9">
        <v>0.014598215</v>
      </c>
      <c r="R139" t="s">
        <v>38</v>
      </c>
      <c r="S139" s="8">
        <v>138</v>
      </c>
      <c r="T139" t="s">
        <v>586</v>
      </c>
      <c r="U139" t="s">
        <v>456</v>
      </c>
      <c r="V139" s="8">
        <v>8</v>
      </c>
      <c r="W139" t="s">
        <v>147</v>
      </c>
      <c r="X139" t="s">
        <v>629</v>
      </c>
      <c r="Y139" s="8">
        <v>374</v>
      </c>
      <c r="Z139" s="8">
        <v>219</v>
      </c>
      <c r="AA139" s="8">
        <v>155</v>
      </c>
    </row>
    <row r="140" ht="36" customHeight="1" spans="1:27">
      <c r="A140" t="s">
        <v>630</v>
      </c>
      <c r="B140" t="str">
        <f>_xlfn.DISPIMG("ID_9D48B99A258A4DD1A15809E560857683",1)</f>
        <v>=DISPIMG("ID_9D48B99A258A4DD1A15809E560857683",1)</v>
      </c>
      <c r="C140" t="s">
        <v>631</v>
      </c>
      <c r="D140" t="s">
        <v>630</v>
      </c>
      <c r="E140" s="7">
        <v>152.99</v>
      </c>
      <c r="F140" s="7" t="s">
        <v>115</v>
      </c>
      <c r="G140" s="8" t="s">
        <v>376</v>
      </c>
      <c r="H140">
        <v>0</v>
      </c>
      <c r="I140" s="8">
        <v>2558</v>
      </c>
      <c r="J140" s="9">
        <v>0.000378921421947816</v>
      </c>
      <c r="K140">
        <v>2558</v>
      </c>
      <c r="L140">
        <v>0</v>
      </c>
      <c r="M140" s="10">
        <v>1</v>
      </c>
      <c r="N140" s="10">
        <v>0</v>
      </c>
      <c r="O140" s="9">
        <v>0.017200712</v>
      </c>
      <c r="P140" s="9">
        <v>0.017200712</v>
      </c>
      <c r="Q140" s="9">
        <v>0</v>
      </c>
      <c r="R140" t="s">
        <v>95</v>
      </c>
      <c r="S140" s="8">
        <v>77</v>
      </c>
      <c r="T140" t="s">
        <v>632</v>
      </c>
      <c r="U140" t="s">
        <v>31</v>
      </c>
      <c r="V140" s="8" t="s">
        <v>97</v>
      </c>
      <c r="W140" t="s">
        <v>97</v>
      </c>
      <c r="X140" t="s">
        <v>97</v>
      </c>
      <c r="Y140" s="8">
        <v>88</v>
      </c>
      <c r="Z140" s="8">
        <v>88</v>
      </c>
      <c r="AA140" s="8">
        <v>0</v>
      </c>
    </row>
    <row r="141" ht="36" customHeight="1" spans="1:27">
      <c r="A141" t="s">
        <v>633</v>
      </c>
      <c r="B141" t="str">
        <f>_xlfn.DISPIMG("ID_7D9351CCCB0E4554A3057A2667D134DE",1)</f>
        <v>=DISPIMG("ID_7D9351CCCB0E4554A3057A2667D134DE",1)</v>
      </c>
      <c r="C141" t="s">
        <v>634</v>
      </c>
      <c r="D141" t="s">
        <v>633</v>
      </c>
      <c r="E141" s="7">
        <v>76.98</v>
      </c>
      <c r="F141" s="7" t="s">
        <v>65</v>
      </c>
      <c r="G141" s="8" t="s">
        <v>635</v>
      </c>
      <c r="H141">
        <v>100</v>
      </c>
      <c r="I141" s="8">
        <v>2554</v>
      </c>
      <c r="J141" s="9">
        <v>0.000378328894313809</v>
      </c>
      <c r="K141">
        <v>2554</v>
      </c>
      <c r="L141">
        <v>0</v>
      </c>
      <c r="M141" s="10">
        <v>1</v>
      </c>
      <c r="N141" s="10">
        <v>0</v>
      </c>
      <c r="O141" s="9">
        <v>0.015770357</v>
      </c>
      <c r="P141" s="9">
        <v>0.015770357</v>
      </c>
      <c r="Q141" s="9">
        <v>0</v>
      </c>
      <c r="R141" t="s">
        <v>362</v>
      </c>
      <c r="S141" s="8">
        <v>140</v>
      </c>
      <c r="T141" t="s">
        <v>636</v>
      </c>
      <c r="U141" t="s">
        <v>637</v>
      </c>
      <c r="V141" s="8">
        <v>4</v>
      </c>
      <c r="W141" t="s">
        <v>40</v>
      </c>
      <c r="X141" t="s">
        <v>638</v>
      </c>
      <c r="Y141" s="8">
        <v>332</v>
      </c>
      <c r="Z141" s="8">
        <v>242</v>
      </c>
      <c r="AA141" s="8">
        <v>90</v>
      </c>
    </row>
    <row r="142" ht="36" customHeight="1" spans="1:27">
      <c r="A142" t="s">
        <v>639</v>
      </c>
      <c r="B142" t="str">
        <f>_xlfn.DISPIMG("ID_9C6E28D3CB264AD6A4FD92566BBE3B63",1)</f>
        <v>=DISPIMG("ID_9C6E28D3CB264AD6A4FD92566BBE3B63",1)</v>
      </c>
      <c r="C142" t="s">
        <v>640</v>
      </c>
      <c r="D142" t="s">
        <v>639</v>
      </c>
      <c r="E142" s="7">
        <v>44.99</v>
      </c>
      <c r="F142" s="7" t="s">
        <v>100</v>
      </c>
      <c r="G142" s="8" t="s">
        <v>419</v>
      </c>
      <c r="H142">
        <v>50</v>
      </c>
      <c r="I142" s="8">
        <v>2449</v>
      </c>
      <c r="J142" s="9">
        <v>0.000362775043921111</v>
      </c>
      <c r="K142">
        <v>2352</v>
      </c>
      <c r="L142">
        <v>97</v>
      </c>
      <c r="M142" s="10">
        <v>0.960392</v>
      </c>
      <c r="N142" s="10">
        <v>0.039608</v>
      </c>
      <c r="O142" s="9">
        <v>0.015127434</v>
      </c>
      <c r="P142" s="9">
        <v>0.014529764</v>
      </c>
      <c r="Q142" s="9">
        <v>0.0005976707</v>
      </c>
      <c r="R142" t="s">
        <v>152</v>
      </c>
      <c r="S142" s="8">
        <v>103</v>
      </c>
      <c r="T142" t="s">
        <v>444</v>
      </c>
      <c r="U142" t="s">
        <v>641</v>
      </c>
      <c r="V142" s="8">
        <v>12</v>
      </c>
      <c r="W142" t="s">
        <v>351</v>
      </c>
      <c r="X142" t="s">
        <v>642</v>
      </c>
      <c r="Y142" s="8">
        <v>188</v>
      </c>
      <c r="Z142" s="8">
        <v>125</v>
      </c>
      <c r="AA142" s="8">
        <v>63</v>
      </c>
    </row>
    <row r="143" ht="36" customHeight="1" spans="1:27">
      <c r="A143" t="s">
        <v>643</v>
      </c>
      <c r="B143" t="str">
        <f>_xlfn.DISPIMG("ID_4078111E35664E7895A3884A32BD933B",1)</f>
        <v>=DISPIMG("ID_4078111E35664E7895A3884A32BD933B",1)</v>
      </c>
      <c r="C143" t="s">
        <v>644</v>
      </c>
      <c r="D143" t="s">
        <v>643</v>
      </c>
      <c r="E143" s="7">
        <v>99.99</v>
      </c>
      <c r="F143" s="7" t="s">
        <v>115</v>
      </c>
      <c r="G143" s="8" t="s">
        <v>350</v>
      </c>
      <c r="H143">
        <v>0</v>
      </c>
      <c r="I143" s="8">
        <v>2338</v>
      </c>
      <c r="J143" s="9">
        <v>0.000346332402077402</v>
      </c>
      <c r="K143">
        <v>0</v>
      </c>
      <c r="L143">
        <v>2338</v>
      </c>
      <c r="M143" s="10">
        <v>0</v>
      </c>
      <c r="N143" s="10">
        <v>1</v>
      </c>
      <c r="O143" s="9">
        <v>0.014968191</v>
      </c>
      <c r="P143" s="9">
        <v>0</v>
      </c>
      <c r="Q143" s="9">
        <v>0.014968191</v>
      </c>
      <c r="R143" t="s">
        <v>439</v>
      </c>
      <c r="S143" s="8" t="s">
        <v>97</v>
      </c>
      <c r="T143" t="s">
        <v>97</v>
      </c>
      <c r="U143" t="s">
        <v>97</v>
      </c>
      <c r="V143" s="8">
        <v>8</v>
      </c>
      <c r="W143" t="s">
        <v>147</v>
      </c>
      <c r="X143" t="s">
        <v>645</v>
      </c>
      <c r="Y143" s="8">
        <v>445</v>
      </c>
      <c r="Z143" s="8">
        <v>86</v>
      </c>
      <c r="AA143" s="8">
        <v>359</v>
      </c>
    </row>
    <row r="144" ht="36" customHeight="1" spans="1:27">
      <c r="A144" t="s">
        <v>646</v>
      </c>
      <c r="B144" t="str">
        <f>_xlfn.DISPIMG("ID_2D9BF169299C40A691B2F5EC96B4F622",1)</f>
        <v>=DISPIMG("ID_2D9BF169299C40A691B2F5EC96B4F622",1)</v>
      </c>
      <c r="C144" t="s">
        <v>647</v>
      </c>
      <c r="D144" t="s">
        <v>646</v>
      </c>
      <c r="E144" s="7">
        <v>59.98</v>
      </c>
      <c r="F144" s="7" t="s">
        <v>115</v>
      </c>
      <c r="G144" s="8" t="s">
        <v>648</v>
      </c>
      <c r="H144">
        <v>0</v>
      </c>
      <c r="I144" s="8">
        <v>2330</v>
      </c>
      <c r="J144" s="9">
        <v>0.000345147346809387</v>
      </c>
      <c r="K144">
        <v>2330</v>
      </c>
      <c r="L144">
        <v>0</v>
      </c>
      <c r="M144" s="10">
        <v>1</v>
      </c>
      <c r="N144" s="10">
        <v>0</v>
      </c>
      <c r="O144" s="9">
        <v>0.014392744</v>
      </c>
      <c r="P144" s="9">
        <v>0.014392744</v>
      </c>
      <c r="Q144" s="9">
        <v>0</v>
      </c>
      <c r="R144" t="s">
        <v>95</v>
      </c>
      <c r="S144" s="8">
        <v>7</v>
      </c>
      <c r="T144" t="s">
        <v>111</v>
      </c>
      <c r="U144" t="s">
        <v>649</v>
      </c>
      <c r="V144" s="8" t="s">
        <v>97</v>
      </c>
      <c r="W144" t="s">
        <v>97</v>
      </c>
      <c r="X144" t="s">
        <v>97</v>
      </c>
      <c r="Y144" s="8">
        <v>330</v>
      </c>
      <c r="Z144" s="8">
        <v>330</v>
      </c>
      <c r="AA144" s="8">
        <v>0</v>
      </c>
    </row>
    <row r="145" ht="36" customHeight="1" spans="1:27">
      <c r="A145" t="s">
        <v>650</v>
      </c>
      <c r="B145" t="str">
        <f>_xlfn.DISPIMG("ID_A8F5854C18C84B7EBA5514300A65C4B2",1)</f>
        <v>=DISPIMG("ID_A8F5854C18C84B7EBA5514300A65C4B2",1)</v>
      </c>
      <c r="C145" t="s">
        <v>651</v>
      </c>
      <c r="D145" t="s">
        <v>650</v>
      </c>
      <c r="E145" s="7">
        <v>269.9</v>
      </c>
      <c r="F145" s="7" t="s">
        <v>115</v>
      </c>
      <c r="G145" s="8" t="s">
        <v>573</v>
      </c>
      <c r="H145">
        <v>0</v>
      </c>
      <c r="I145" s="8">
        <v>2330</v>
      </c>
      <c r="J145" s="9">
        <v>0.000345147346809387</v>
      </c>
      <c r="K145">
        <v>2330</v>
      </c>
      <c r="L145">
        <v>0</v>
      </c>
      <c r="M145" s="10">
        <v>1</v>
      </c>
      <c r="N145" s="10">
        <v>0</v>
      </c>
      <c r="O145" s="9">
        <v>0.014392744</v>
      </c>
      <c r="P145" s="9">
        <v>0.014392744</v>
      </c>
      <c r="Q145" s="9">
        <v>0</v>
      </c>
      <c r="R145" t="s">
        <v>95</v>
      </c>
      <c r="S145" s="8">
        <v>3</v>
      </c>
      <c r="T145" t="s">
        <v>56</v>
      </c>
      <c r="U145" t="s">
        <v>62</v>
      </c>
      <c r="V145" s="8" t="s">
        <v>97</v>
      </c>
      <c r="W145" t="s">
        <v>97</v>
      </c>
      <c r="X145" t="s">
        <v>97</v>
      </c>
      <c r="Y145" s="8">
        <v>254</v>
      </c>
      <c r="Z145" s="8">
        <v>235</v>
      </c>
      <c r="AA145" s="8">
        <v>19</v>
      </c>
    </row>
    <row r="146" ht="36" customHeight="1" spans="1:27">
      <c r="A146" t="s">
        <v>652</v>
      </c>
      <c r="B146" t="str">
        <f>_xlfn.DISPIMG("ID_BA4E51F347054049BF6F210A326DD1D6",1)</f>
        <v>=DISPIMG("ID_BA4E51F347054049BF6F210A326DD1D6",1)</v>
      </c>
      <c r="C146" t="s">
        <v>653</v>
      </c>
      <c r="D146" t="s">
        <v>652</v>
      </c>
      <c r="E146" s="7">
        <v>63.99</v>
      </c>
      <c r="F146" s="7" t="s">
        <v>654</v>
      </c>
      <c r="G146" s="8" t="s">
        <v>139</v>
      </c>
      <c r="H146">
        <v>100</v>
      </c>
      <c r="I146" s="8">
        <v>2309</v>
      </c>
      <c r="J146" s="9">
        <v>0.000342036576730847</v>
      </c>
      <c r="K146">
        <v>2309</v>
      </c>
      <c r="L146">
        <v>0</v>
      </c>
      <c r="M146" s="10">
        <v>1</v>
      </c>
      <c r="N146" s="10">
        <v>0</v>
      </c>
      <c r="O146" s="9">
        <v>0.014727121</v>
      </c>
      <c r="P146" s="9">
        <v>0.014727121</v>
      </c>
      <c r="Q146" s="9">
        <v>0</v>
      </c>
      <c r="R146" t="s">
        <v>95</v>
      </c>
      <c r="S146" s="8">
        <v>123</v>
      </c>
      <c r="T146" t="s">
        <v>655</v>
      </c>
      <c r="U146" t="s">
        <v>31</v>
      </c>
      <c r="V146" s="8" t="s">
        <v>97</v>
      </c>
      <c r="W146" t="s">
        <v>97</v>
      </c>
      <c r="X146" t="s">
        <v>97</v>
      </c>
      <c r="Y146" s="8">
        <v>1227</v>
      </c>
      <c r="Z146" s="8">
        <v>1227</v>
      </c>
      <c r="AA146" s="8">
        <v>0</v>
      </c>
    </row>
    <row r="147" ht="36" customHeight="1" spans="1:27">
      <c r="A147" t="s">
        <v>656</v>
      </c>
      <c r="B147" t="str">
        <f>_xlfn.DISPIMG("ID_31CA24252762499E886E14A5FE1E103B",1)</f>
        <v>=DISPIMG("ID_31CA24252762499E886E14A5FE1E103B",1)</v>
      </c>
      <c r="C147" t="s">
        <v>657</v>
      </c>
      <c r="D147" t="s">
        <v>656</v>
      </c>
      <c r="E147" s="7">
        <v>199</v>
      </c>
      <c r="F147" s="7" t="s">
        <v>128</v>
      </c>
      <c r="G147" s="8" t="s">
        <v>372</v>
      </c>
      <c r="H147">
        <v>50</v>
      </c>
      <c r="I147" s="8">
        <v>2096</v>
      </c>
      <c r="J147" s="9">
        <v>0.000310484480219946</v>
      </c>
      <c r="K147">
        <v>0</v>
      </c>
      <c r="L147">
        <v>2096</v>
      </c>
      <c r="M147" s="10">
        <v>0</v>
      </c>
      <c r="N147" s="10">
        <v>1</v>
      </c>
      <c r="O147" s="9">
        <v>0.012946429</v>
      </c>
      <c r="P147" s="9">
        <v>0</v>
      </c>
      <c r="Q147" s="9">
        <v>0.012946429</v>
      </c>
      <c r="R147" t="s">
        <v>658</v>
      </c>
      <c r="S147" s="8" t="s">
        <v>97</v>
      </c>
      <c r="T147" t="s">
        <v>97</v>
      </c>
      <c r="U147" t="s">
        <v>97</v>
      </c>
      <c r="V147" s="8" t="s">
        <v>97</v>
      </c>
      <c r="W147" t="s">
        <v>97</v>
      </c>
      <c r="X147" t="s">
        <v>97</v>
      </c>
      <c r="Y147" s="8">
        <v>447</v>
      </c>
      <c r="Z147" s="8">
        <v>228</v>
      </c>
      <c r="AA147" s="8">
        <v>219</v>
      </c>
    </row>
    <row r="148" ht="36" customHeight="1" spans="1:27">
      <c r="A148" t="s">
        <v>659</v>
      </c>
      <c r="B148" t="str">
        <f>_xlfn.DISPIMG("ID_7279C7FDDF014112A78D5AC2BC34A927",1)</f>
        <v>=DISPIMG("ID_7279C7FDDF014112A78D5AC2BC34A927",1)</v>
      </c>
      <c r="C148" t="s">
        <v>660</v>
      </c>
      <c r="D148" t="s">
        <v>659</v>
      </c>
      <c r="E148" s="7">
        <v>79.98</v>
      </c>
      <c r="F148" s="7" t="s">
        <v>27</v>
      </c>
      <c r="G148" s="8" t="s">
        <v>661</v>
      </c>
      <c r="H148">
        <v>50</v>
      </c>
      <c r="I148" s="8">
        <v>2061</v>
      </c>
      <c r="J148" s="9">
        <v>0.00030529986342238</v>
      </c>
      <c r="K148">
        <v>0</v>
      </c>
      <c r="L148">
        <v>2061</v>
      </c>
      <c r="M148" s="10">
        <v>0</v>
      </c>
      <c r="N148" s="10">
        <v>1</v>
      </c>
      <c r="O148" s="9">
        <v>0.012733401</v>
      </c>
      <c r="P148" s="9">
        <v>0</v>
      </c>
      <c r="Q148" s="9">
        <v>0.012733401</v>
      </c>
      <c r="R148" t="s">
        <v>439</v>
      </c>
      <c r="S148" s="8" t="s">
        <v>97</v>
      </c>
      <c r="T148" t="s">
        <v>97</v>
      </c>
      <c r="U148" t="s">
        <v>97</v>
      </c>
      <c r="V148" s="8">
        <v>8</v>
      </c>
      <c r="W148" t="s">
        <v>147</v>
      </c>
      <c r="X148" t="s">
        <v>198</v>
      </c>
      <c r="Y148" s="8">
        <v>107</v>
      </c>
      <c r="Z148" s="8">
        <v>7</v>
      </c>
      <c r="AA148" s="8">
        <v>100</v>
      </c>
    </row>
    <row r="149" ht="36" customHeight="1" spans="1:27">
      <c r="A149" t="s">
        <v>662</v>
      </c>
      <c r="B149" t="str">
        <f>_xlfn.DISPIMG("ID_0D59EB68F3FB4F67A32FC8A7648865FB",1)</f>
        <v>=DISPIMG("ID_0D59EB68F3FB4F67A32FC8A7648865FB",1)</v>
      </c>
      <c r="C149" t="s">
        <v>663</v>
      </c>
      <c r="D149" t="s">
        <v>662</v>
      </c>
      <c r="E149" s="7">
        <v>152.99</v>
      </c>
      <c r="F149" s="7" t="s">
        <v>36</v>
      </c>
      <c r="G149" s="8" t="s">
        <v>240</v>
      </c>
      <c r="H149">
        <v>100</v>
      </c>
      <c r="I149" s="8">
        <v>1974</v>
      </c>
      <c r="J149" s="9">
        <v>0.000292412387382717</v>
      </c>
      <c r="K149">
        <v>1540</v>
      </c>
      <c r="L149">
        <v>434</v>
      </c>
      <c r="M149" s="10">
        <v>0.78014183</v>
      </c>
      <c r="N149" s="10">
        <v>0.21985815</v>
      </c>
      <c r="O149" s="9">
        <v>0.012349364</v>
      </c>
      <c r="P149" s="9">
        <v>0.009670793</v>
      </c>
      <c r="Q149" s="9">
        <v>0.0026785715</v>
      </c>
      <c r="R149" t="s">
        <v>55</v>
      </c>
      <c r="S149" s="8">
        <v>134</v>
      </c>
      <c r="T149" t="s">
        <v>664</v>
      </c>
      <c r="U149" t="s">
        <v>31</v>
      </c>
      <c r="V149" s="8">
        <v>9</v>
      </c>
      <c r="W149" t="s">
        <v>104</v>
      </c>
      <c r="X149" t="s">
        <v>665</v>
      </c>
      <c r="Y149" s="8">
        <v>1214</v>
      </c>
      <c r="Z149" s="8">
        <v>1168</v>
      </c>
      <c r="AA149" s="8">
        <v>46</v>
      </c>
    </row>
    <row r="150" ht="36" customHeight="1" spans="1:27">
      <c r="A150" t="s">
        <v>666</v>
      </c>
      <c r="B150" t="str">
        <f>_xlfn.DISPIMG("ID_F75A15B41E7F49098070D2AEBB65CC6F",1)</f>
        <v>=DISPIMG("ID_F75A15B41E7F49098070D2AEBB65CC6F",1)</v>
      </c>
      <c r="C150" t="s">
        <v>667</v>
      </c>
      <c r="D150" t="s">
        <v>666</v>
      </c>
      <c r="E150" s="7">
        <v>258</v>
      </c>
      <c r="F150" s="7" t="s">
        <v>36</v>
      </c>
      <c r="G150" s="8" t="s">
        <v>434</v>
      </c>
      <c r="H150">
        <v>400</v>
      </c>
      <c r="I150" s="8">
        <v>1957</v>
      </c>
      <c r="J150" s="9">
        <v>0.000289894144938185</v>
      </c>
      <c r="K150">
        <v>1957</v>
      </c>
      <c r="L150">
        <v>0</v>
      </c>
      <c r="M150" s="10">
        <v>1</v>
      </c>
      <c r="N150" s="10">
        <v>0</v>
      </c>
      <c r="O150" s="9">
        <v>0.01209615</v>
      </c>
      <c r="P150" s="9">
        <v>0.01209615</v>
      </c>
      <c r="Q150" s="9">
        <v>0</v>
      </c>
      <c r="R150" t="s">
        <v>95</v>
      </c>
      <c r="S150" s="8">
        <v>37</v>
      </c>
      <c r="T150" t="s">
        <v>271</v>
      </c>
      <c r="U150" t="s">
        <v>668</v>
      </c>
      <c r="V150" s="8" t="s">
        <v>97</v>
      </c>
      <c r="W150" t="s">
        <v>97</v>
      </c>
      <c r="X150" t="s">
        <v>97</v>
      </c>
      <c r="Y150" s="8">
        <v>311</v>
      </c>
      <c r="Z150" s="8">
        <v>306</v>
      </c>
      <c r="AA150" s="8">
        <v>5</v>
      </c>
    </row>
    <row r="151" ht="36" customHeight="1" spans="1:27">
      <c r="A151" t="s">
        <v>669</v>
      </c>
      <c r="B151" t="str">
        <f>_xlfn.DISPIMG("ID_57459ACD872843FFA224387CA80839A7",1)</f>
        <v>=DISPIMG("ID_57459ACD872843FFA224387CA80839A7",1)</v>
      </c>
      <c r="C151" t="s">
        <v>670</v>
      </c>
      <c r="D151" t="s">
        <v>669</v>
      </c>
      <c r="E151" s="7">
        <v>208.99</v>
      </c>
      <c r="F151" s="7" t="s">
        <v>100</v>
      </c>
      <c r="G151" s="8" t="s">
        <v>616</v>
      </c>
      <c r="H151">
        <v>0</v>
      </c>
      <c r="I151" s="8">
        <v>1952</v>
      </c>
      <c r="J151" s="9">
        <v>0.000289153485395675</v>
      </c>
      <c r="K151">
        <v>0</v>
      </c>
      <c r="L151">
        <v>1952</v>
      </c>
      <c r="M151" s="10">
        <v>0</v>
      </c>
      <c r="N151" s="10">
        <v>1</v>
      </c>
      <c r="O151" s="9">
        <v>0.012053572</v>
      </c>
      <c r="P151" s="9">
        <v>0</v>
      </c>
      <c r="Q151" s="9">
        <v>0.012053572</v>
      </c>
      <c r="R151" t="s">
        <v>658</v>
      </c>
      <c r="S151" s="8" t="s">
        <v>97</v>
      </c>
      <c r="T151" t="s">
        <v>97</v>
      </c>
      <c r="U151" t="s">
        <v>97</v>
      </c>
      <c r="V151" s="8" t="s">
        <v>97</v>
      </c>
      <c r="W151" t="s">
        <v>97</v>
      </c>
      <c r="X151" t="s">
        <v>97</v>
      </c>
      <c r="Y151" s="8">
        <v>739</v>
      </c>
      <c r="Z151" s="8">
        <v>254</v>
      </c>
      <c r="AA151" s="8">
        <v>485</v>
      </c>
    </row>
    <row r="152" ht="36" customHeight="1" spans="1:27">
      <c r="A152" t="s">
        <v>671</v>
      </c>
      <c r="B152" t="str">
        <f>_xlfn.DISPIMG("ID_ACD0F2D8149E4CE595978FE464198056",1)</f>
        <v>=DISPIMG("ID_ACD0F2D8149E4CE595978FE464198056",1)</v>
      </c>
      <c r="C152" t="s">
        <v>672</v>
      </c>
      <c r="D152" t="s">
        <v>671</v>
      </c>
      <c r="E152" s="7">
        <v>249.99</v>
      </c>
      <c r="F152" s="7" t="s">
        <v>128</v>
      </c>
      <c r="G152" s="8" t="s">
        <v>585</v>
      </c>
      <c r="H152">
        <v>100</v>
      </c>
      <c r="I152" s="8">
        <v>1952</v>
      </c>
      <c r="J152" s="9">
        <v>0.000289153485395675</v>
      </c>
      <c r="K152">
        <v>0</v>
      </c>
      <c r="L152">
        <v>1952</v>
      </c>
      <c r="M152" s="10">
        <v>0</v>
      </c>
      <c r="N152" s="10">
        <v>1</v>
      </c>
      <c r="O152" s="9">
        <v>0.012053572</v>
      </c>
      <c r="P152" s="9">
        <v>0</v>
      </c>
      <c r="Q152" s="9">
        <v>0.012053572</v>
      </c>
      <c r="R152" t="s">
        <v>38</v>
      </c>
      <c r="S152" s="8">
        <v>142</v>
      </c>
      <c r="T152" t="s">
        <v>427</v>
      </c>
      <c r="U152" t="s">
        <v>673</v>
      </c>
      <c r="V152" s="8">
        <v>15</v>
      </c>
      <c r="W152" t="s">
        <v>69</v>
      </c>
      <c r="X152" t="s">
        <v>674</v>
      </c>
      <c r="Y152" s="8">
        <v>1078</v>
      </c>
      <c r="Z152" s="8">
        <v>619</v>
      </c>
      <c r="AA152" s="8">
        <v>459</v>
      </c>
    </row>
    <row r="153" ht="36" customHeight="1" spans="1:27">
      <c r="A153" t="s">
        <v>675</v>
      </c>
      <c r="B153" t="str">
        <f>_xlfn.DISPIMG("ID_2A5BE6257C06471F8F68EE6A88E1E128",1)</f>
        <v>=DISPIMG("ID_2A5BE6257C06471F8F68EE6A88E1E128",1)</v>
      </c>
      <c r="C153" t="s">
        <v>676</v>
      </c>
      <c r="D153" t="s">
        <v>675</v>
      </c>
      <c r="E153" s="7">
        <v>379.99</v>
      </c>
      <c r="F153" s="7" t="s">
        <v>195</v>
      </c>
      <c r="G153" s="8" t="s">
        <v>134</v>
      </c>
      <c r="H153">
        <v>2000</v>
      </c>
      <c r="I153" s="8">
        <v>1873</v>
      </c>
      <c r="J153" s="9">
        <v>0.000277451064624026</v>
      </c>
      <c r="K153">
        <v>1873</v>
      </c>
      <c r="L153">
        <v>0</v>
      </c>
      <c r="M153" s="10">
        <v>1</v>
      </c>
      <c r="N153" s="10">
        <v>0</v>
      </c>
      <c r="O153" s="9">
        <v>0.011577127</v>
      </c>
      <c r="P153" s="9">
        <v>0.011577127</v>
      </c>
      <c r="Q153" s="9">
        <v>0</v>
      </c>
      <c r="R153" t="s">
        <v>95</v>
      </c>
      <c r="S153" s="8">
        <v>142</v>
      </c>
      <c r="T153" t="s">
        <v>427</v>
      </c>
      <c r="U153" t="s">
        <v>568</v>
      </c>
      <c r="V153" s="8" t="s">
        <v>97</v>
      </c>
      <c r="W153" t="s">
        <v>97</v>
      </c>
      <c r="X153" t="s">
        <v>97</v>
      </c>
      <c r="Y153" s="8">
        <v>2210</v>
      </c>
      <c r="Z153" s="8">
        <v>2210</v>
      </c>
      <c r="AA153" s="8">
        <v>0</v>
      </c>
    </row>
    <row r="154" ht="36" customHeight="1" spans="1:27">
      <c r="A154" t="s">
        <v>677</v>
      </c>
      <c r="B154" t="str">
        <f>_xlfn.DISPIMG("ID_8D7B35C85E0F402E8F9DAC41271A52AC",1)</f>
        <v>=DISPIMG("ID_8D7B35C85E0F402E8F9DAC41271A52AC",1)</v>
      </c>
      <c r="C154" t="s">
        <v>678</v>
      </c>
      <c r="D154" t="s">
        <v>677</v>
      </c>
      <c r="E154" s="7">
        <v>629</v>
      </c>
      <c r="F154" s="7" t="s">
        <v>36</v>
      </c>
      <c r="G154" s="8" t="s">
        <v>679</v>
      </c>
      <c r="H154">
        <v>100</v>
      </c>
      <c r="I154" s="8">
        <v>1743</v>
      </c>
      <c r="J154" s="9">
        <v>0.000258193916518782</v>
      </c>
      <c r="K154">
        <v>0</v>
      </c>
      <c r="L154">
        <v>1743</v>
      </c>
      <c r="M154" s="10">
        <v>0</v>
      </c>
      <c r="N154" s="10">
        <v>1</v>
      </c>
      <c r="O154" s="9">
        <v>0.011116072</v>
      </c>
      <c r="P154" s="9">
        <v>0</v>
      </c>
      <c r="Q154" s="9">
        <v>0.011116072</v>
      </c>
      <c r="R154" t="s">
        <v>528</v>
      </c>
      <c r="S154" s="8" t="s">
        <v>97</v>
      </c>
      <c r="T154" t="s">
        <v>97</v>
      </c>
      <c r="U154" t="s">
        <v>97</v>
      </c>
      <c r="V154" s="8">
        <v>22</v>
      </c>
      <c r="W154" t="s">
        <v>680</v>
      </c>
      <c r="X154" t="s">
        <v>681</v>
      </c>
      <c r="Y154" s="8">
        <v>733</v>
      </c>
      <c r="Z154" s="8">
        <v>406</v>
      </c>
      <c r="AA154" s="8">
        <v>327</v>
      </c>
    </row>
    <row r="155" ht="36" customHeight="1" spans="1:27">
      <c r="A155" t="s">
        <v>682</v>
      </c>
      <c r="B155" t="str">
        <f>_xlfn.DISPIMG("ID_F3B86F661BFF481A80F9FFE374CF1934",1)</f>
        <v>=DISPIMG("ID_F3B86F661BFF481A80F9FFE374CF1934",1)</v>
      </c>
      <c r="C155" t="s">
        <v>683</v>
      </c>
      <c r="D155" t="s">
        <v>682</v>
      </c>
      <c r="E155" s="7">
        <v>79.99</v>
      </c>
      <c r="F155" s="7" t="s">
        <v>107</v>
      </c>
      <c r="G155" s="8" t="s">
        <v>684</v>
      </c>
      <c r="H155">
        <v>100</v>
      </c>
      <c r="I155" s="8">
        <v>1583</v>
      </c>
      <c r="J155" s="9">
        <v>0.00023449281115848</v>
      </c>
      <c r="K155">
        <v>1583</v>
      </c>
      <c r="L155">
        <v>0</v>
      </c>
      <c r="M155" s="10">
        <v>1</v>
      </c>
      <c r="N155" s="10">
        <v>0</v>
      </c>
      <c r="O155" s="9">
        <v>0.009780311</v>
      </c>
      <c r="P155" s="9">
        <v>0.009780311</v>
      </c>
      <c r="Q155" s="9">
        <v>0</v>
      </c>
      <c r="R155" t="s">
        <v>38</v>
      </c>
      <c r="S155" s="8">
        <v>49</v>
      </c>
      <c r="T155" t="s">
        <v>285</v>
      </c>
      <c r="U155" t="s">
        <v>472</v>
      </c>
      <c r="V155" s="8">
        <v>12</v>
      </c>
      <c r="W155" t="s">
        <v>76</v>
      </c>
      <c r="X155" t="s">
        <v>277</v>
      </c>
      <c r="Y155" s="8">
        <v>279</v>
      </c>
      <c r="Z155" s="8">
        <v>202</v>
      </c>
      <c r="AA155" s="8">
        <v>77</v>
      </c>
    </row>
    <row r="156" ht="36" customHeight="1" spans="1:27">
      <c r="A156" t="s">
        <v>685</v>
      </c>
      <c r="B156" t="str">
        <f>_xlfn.DISPIMG("ID_E518A8DE4D2846169DC66A0249FA4449",1)</f>
        <v>=DISPIMG("ID_E518A8DE4D2846169DC66A0249FA4449",1)</v>
      </c>
      <c r="C156" t="s">
        <v>686</v>
      </c>
      <c r="D156" t="s">
        <v>685</v>
      </c>
      <c r="E156" s="7">
        <v>119.99</v>
      </c>
      <c r="F156" s="7" t="s">
        <v>65</v>
      </c>
      <c r="G156" s="8" t="s">
        <v>139</v>
      </c>
      <c r="H156">
        <v>600</v>
      </c>
      <c r="I156" s="8">
        <v>1571</v>
      </c>
      <c r="J156" s="9">
        <v>0.000232715228256458</v>
      </c>
      <c r="K156">
        <v>1571</v>
      </c>
      <c r="L156">
        <v>0</v>
      </c>
      <c r="M156" s="10">
        <v>1</v>
      </c>
      <c r="N156" s="10">
        <v>0</v>
      </c>
      <c r="O156" s="9">
        <v>0.010684364</v>
      </c>
      <c r="P156" s="9">
        <v>0.010684364</v>
      </c>
      <c r="Q156" s="9">
        <v>0</v>
      </c>
      <c r="R156" t="s">
        <v>102</v>
      </c>
      <c r="S156" s="8">
        <v>65</v>
      </c>
      <c r="T156" t="s">
        <v>687</v>
      </c>
      <c r="U156" t="s">
        <v>31</v>
      </c>
      <c r="V156" s="8">
        <v>4</v>
      </c>
      <c r="W156" t="s">
        <v>40</v>
      </c>
      <c r="X156" t="s">
        <v>688</v>
      </c>
      <c r="Y156" s="8">
        <v>823</v>
      </c>
      <c r="Z156" s="8">
        <v>823</v>
      </c>
      <c r="AA156" s="8">
        <v>0</v>
      </c>
    </row>
    <row r="157" ht="36" customHeight="1" spans="1:27">
      <c r="A157" t="s">
        <v>689</v>
      </c>
      <c r="B157" t="str">
        <f>_xlfn.DISPIMG("ID_CA1EAAA84B9A46E09668C036A315C605",1)</f>
        <v>=DISPIMG("ID_CA1EAAA84B9A46E09668C036A315C605",1)</v>
      </c>
      <c r="C157" t="s">
        <v>690</v>
      </c>
      <c r="D157" t="s">
        <v>689</v>
      </c>
      <c r="E157" s="7">
        <v>399</v>
      </c>
      <c r="F157" s="7" t="s">
        <v>691</v>
      </c>
      <c r="G157" s="8" t="s">
        <v>115</v>
      </c>
      <c r="H157">
        <v>0</v>
      </c>
      <c r="I157" s="8">
        <v>1558</v>
      </c>
      <c r="J157" s="9">
        <v>0.000230789513445933</v>
      </c>
      <c r="K157">
        <v>1558</v>
      </c>
      <c r="L157">
        <v>0</v>
      </c>
      <c r="M157" s="10">
        <v>1</v>
      </c>
      <c r="N157" s="10">
        <v>0</v>
      </c>
      <c r="O157" s="9">
        <v>0.010028563</v>
      </c>
      <c r="P157" s="9">
        <v>0.010028563</v>
      </c>
      <c r="Q157" s="9">
        <v>0</v>
      </c>
      <c r="R157" t="s">
        <v>152</v>
      </c>
      <c r="S157" s="8">
        <v>132</v>
      </c>
      <c r="T157" t="s">
        <v>692</v>
      </c>
      <c r="U157" t="s">
        <v>31</v>
      </c>
      <c r="V157" s="8">
        <v>22</v>
      </c>
      <c r="W157" t="s">
        <v>346</v>
      </c>
      <c r="X157" t="s">
        <v>693</v>
      </c>
      <c r="Y157" s="8">
        <v>375</v>
      </c>
      <c r="Z157" s="8">
        <v>194</v>
      </c>
      <c r="AA157" s="8">
        <v>181</v>
      </c>
    </row>
    <row r="158" ht="36" customHeight="1" spans="1:27">
      <c r="A158" t="s">
        <v>694</v>
      </c>
      <c r="B158" t="str">
        <f>_xlfn.DISPIMG("ID_C289AA3C29AC4568823BEADE1303BB78",1)</f>
        <v>=DISPIMG("ID_C289AA3C29AC4568823BEADE1303BB78",1)</v>
      </c>
      <c r="C158" t="s">
        <v>695</v>
      </c>
      <c r="D158" t="s">
        <v>694</v>
      </c>
      <c r="E158" s="7">
        <v>369</v>
      </c>
      <c r="F158" s="7" t="s">
        <v>115</v>
      </c>
      <c r="G158" s="8" t="s">
        <v>115</v>
      </c>
      <c r="H158">
        <v>50</v>
      </c>
      <c r="I158" s="8">
        <v>1494</v>
      </c>
      <c r="J158" s="9">
        <v>0.000221309071301813</v>
      </c>
      <c r="K158">
        <v>0</v>
      </c>
      <c r="L158">
        <v>1494</v>
      </c>
      <c r="M158" s="10">
        <v>0</v>
      </c>
      <c r="N158" s="10">
        <v>1</v>
      </c>
      <c r="O158" s="9">
        <v>0.009226191</v>
      </c>
      <c r="P158" s="9">
        <v>0</v>
      </c>
      <c r="Q158" s="9">
        <v>0.009226191</v>
      </c>
      <c r="R158" t="s">
        <v>658</v>
      </c>
      <c r="S158" s="8" t="s">
        <v>97</v>
      </c>
      <c r="T158" t="s">
        <v>97</v>
      </c>
      <c r="U158" t="s">
        <v>97</v>
      </c>
      <c r="V158" s="8" t="s">
        <v>97</v>
      </c>
      <c r="W158" t="s">
        <v>97</v>
      </c>
      <c r="X158" t="s">
        <v>97</v>
      </c>
      <c r="Y158" s="8">
        <v>503</v>
      </c>
      <c r="Z158" s="8">
        <v>72</v>
      </c>
      <c r="AA158" s="8">
        <v>431</v>
      </c>
    </row>
    <row r="159" ht="36" customHeight="1" spans="1:27">
      <c r="A159" t="s">
        <v>696</v>
      </c>
      <c r="B159" t="str">
        <f>_xlfn.DISPIMG("ID_A80496EF28F141498A4D6A57ED15BA33",1)</f>
        <v>=DISPIMG("ID_A80496EF28F141498A4D6A57ED15BA33",1)</v>
      </c>
      <c r="C159" t="s">
        <v>697</v>
      </c>
      <c r="D159" t="s">
        <v>696</v>
      </c>
      <c r="E159" s="7">
        <v>605</v>
      </c>
      <c r="F159" s="7" t="s">
        <v>698</v>
      </c>
      <c r="G159" s="8" t="s">
        <v>527</v>
      </c>
      <c r="H159">
        <v>0</v>
      </c>
      <c r="I159" s="8">
        <v>1494</v>
      </c>
      <c r="J159" s="9">
        <v>0.000221309071301813</v>
      </c>
      <c r="K159">
        <v>0</v>
      </c>
      <c r="L159">
        <v>1494</v>
      </c>
      <c r="M159" s="10">
        <v>0</v>
      </c>
      <c r="N159" s="10">
        <v>1</v>
      </c>
      <c r="O159" s="9">
        <v>0.009226191</v>
      </c>
      <c r="P159" s="9">
        <v>0</v>
      </c>
      <c r="Q159" s="9">
        <v>0.009226191</v>
      </c>
      <c r="R159" t="s">
        <v>658</v>
      </c>
      <c r="S159" s="8" t="s">
        <v>97</v>
      </c>
      <c r="T159" t="s">
        <v>97</v>
      </c>
      <c r="U159" t="s">
        <v>97</v>
      </c>
      <c r="V159" s="8" t="s">
        <v>97</v>
      </c>
      <c r="W159" t="s">
        <v>97</v>
      </c>
      <c r="X159" t="s">
        <v>97</v>
      </c>
      <c r="Y159" s="8">
        <v>475</v>
      </c>
      <c r="Z159" s="8">
        <v>45</v>
      </c>
      <c r="AA159" s="8">
        <v>430</v>
      </c>
    </row>
    <row r="160" ht="36" customHeight="1" spans="1:27">
      <c r="A160" t="s">
        <v>699</v>
      </c>
      <c r="B160" t="str">
        <f>_xlfn.DISPIMG("ID_9A7036808C7B4689B9BDAFB1B7859F0D",1)</f>
        <v>=DISPIMG("ID_9A7036808C7B4689B9BDAFB1B7859F0D",1)</v>
      </c>
      <c r="C160" t="s">
        <v>700</v>
      </c>
      <c r="D160" t="s">
        <v>699</v>
      </c>
      <c r="E160" s="7">
        <v>59.99</v>
      </c>
      <c r="F160" s="7" t="s">
        <v>257</v>
      </c>
      <c r="G160" s="8" t="s">
        <v>701</v>
      </c>
      <c r="H160">
        <v>100</v>
      </c>
      <c r="I160" s="8">
        <v>1484</v>
      </c>
      <c r="J160" s="9">
        <v>0.000219827752216794</v>
      </c>
      <c r="K160">
        <v>0</v>
      </c>
      <c r="L160">
        <v>1484</v>
      </c>
      <c r="M160" s="10">
        <v>0</v>
      </c>
      <c r="N160" s="10">
        <v>1</v>
      </c>
      <c r="O160" s="9">
        <v>0.009158518</v>
      </c>
      <c r="P160" s="9">
        <v>0</v>
      </c>
      <c r="Q160" s="9">
        <v>0.009158518</v>
      </c>
      <c r="R160" t="s">
        <v>152</v>
      </c>
      <c r="S160" s="8">
        <v>139</v>
      </c>
      <c r="T160" t="s">
        <v>636</v>
      </c>
      <c r="U160" t="s">
        <v>702</v>
      </c>
      <c r="V160" s="8">
        <v>28</v>
      </c>
      <c r="W160" t="s">
        <v>153</v>
      </c>
      <c r="X160" t="s">
        <v>264</v>
      </c>
      <c r="Y160" s="8">
        <v>1165</v>
      </c>
      <c r="Z160" s="8">
        <v>298</v>
      </c>
      <c r="AA160" s="8">
        <v>867</v>
      </c>
    </row>
    <row r="161" ht="36" customHeight="1" spans="1:27">
      <c r="A161" t="s">
        <v>703</v>
      </c>
      <c r="B161" t="str">
        <f>_xlfn.DISPIMG("ID_86AC0C62CFAD4B349A2F6D4CD46C7CB1",1)</f>
        <v>=DISPIMG("ID_86AC0C62CFAD4B349A2F6D4CD46C7CB1",1)</v>
      </c>
      <c r="C161" t="s">
        <v>704</v>
      </c>
      <c r="D161" t="s">
        <v>703</v>
      </c>
      <c r="E161" s="7">
        <v>249.97</v>
      </c>
      <c r="F161" s="7" t="s">
        <v>27</v>
      </c>
      <c r="G161" s="8" t="s">
        <v>187</v>
      </c>
      <c r="H161">
        <v>300</v>
      </c>
      <c r="I161" s="8">
        <v>1476</v>
      </c>
      <c r="J161" s="9">
        <v>0.000218642696948779</v>
      </c>
      <c r="K161">
        <v>0</v>
      </c>
      <c r="L161">
        <v>1476</v>
      </c>
      <c r="M161" s="10">
        <v>0</v>
      </c>
      <c r="N161" s="10">
        <v>1</v>
      </c>
      <c r="O161" s="9">
        <v>0.009107143</v>
      </c>
      <c r="P161" s="9">
        <v>0</v>
      </c>
      <c r="Q161" s="9">
        <v>0.009107143</v>
      </c>
      <c r="R161" t="s">
        <v>109</v>
      </c>
      <c r="S161" s="8">
        <v>140</v>
      </c>
      <c r="T161" t="s">
        <v>636</v>
      </c>
      <c r="U161" t="s">
        <v>705</v>
      </c>
      <c r="V161" s="8">
        <v>17</v>
      </c>
      <c r="W161" t="s">
        <v>103</v>
      </c>
      <c r="X161" t="s">
        <v>693</v>
      </c>
      <c r="Y161" s="8">
        <v>1720</v>
      </c>
      <c r="Z161" s="8">
        <v>1044</v>
      </c>
      <c r="AA161" s="8">
        <v>676</v>
      </c>
    </row>
    <row r="162" ht="36" customHeight="1" spans="1:27">
      <c r="A162" t="s">
        <v>706</v>
      </c>
      <c r="B162" t="str">
        <f>_xlfn.DISPIMG("ID_B3D19FB5E4DF41CE8F309D8C1BD8E44C",1)</f>
        <v>=DISPIMG("ID_B3D19FB5E4DF41CE8F309D8C1BD8E44C",1)</v>
      </c>
      <c r="C162" t="s">
        <v>707</v>
      </c>
      <c r="D162" t="s">
        <v>706</v>
      </c>
      <c r="E162" s="7">
        <v>799</v>
      </c>
      <c r="F162" s="7" t="s">
        <v>115</v>
      </c>
      <c r="G162" s="8" t="s">
        <v>317</v>
      </c>
      <c r="H162">
        <v>0</v>
      </c>
      <c r="I162" s="8">
        <v>1474</v>
      </c>
      <c r="J162" s="9">
        <v>0.000218346433131775</v>
      </c>
      <c r="K162">
        <v>0</v>
      </c>
      <c r="L162">
        <v>1474</v>
      </c>
      <c r="M162" s="10">
        <v>0</v>
      </c>
      <c r="N162" s="10">
        <v>1</v>
      </c>
      <c r="O162" s="9">
        <v>0.009107143</v>
      </c>
      <c r="P162" s="9">
        <v>0</v>
      </c>
      <c r="Q162" s="9">
        <v>0.009107143</v>
      </c>
      <c r="R162" t="s">
        <v>590</v>
      </c>
      <c r="S162" s="8" t="s">
        <v>97</v>
      </c>
      <c r="T162" t="s">
        <v>97</v>
      </c>
      <c r="U162" t="s">
        <v>97</v>
      </c>
      <c r="V162" s="8" t="s">
        <v>97</v>
      </c>
      <c r="W162" t="s">
        <v>97</v>
      </c>
      <c r="X162" t="s">
        <v>97</v>
      </c>
      <c r="Y162" s="8">
        <v>152</v>
      </c>
      <c r="Z162" s="8">
        <v>38</v>
      </c>
      <c r="AA162" s="8">
        <v>114</v>
      </c>
    </row>
    <row r="163" ht="36" customHeight="1" spans="1:27">
      <c r="A163" t="s">
        <v>708</v>
      </c>
      <c r="B163" t="str">
        <f>_xlfn.DISPIMG("ID_11D690AA29894BB5860D2F4B7D623BBC",1)</f>
        <v>=DISPIMG("ID_11D690AA29894BB5860D2F4B7D623BBC",1)</v>
      </c>
      <c r="C163" t="s">
        <v>709</v>
      </c>
      <c r="D163" t="s">
        <v>708</v>
      </c>
      <c r="E163" s="7">
        <v>149.99</v>
      </c>
      <c r="F163" s="7" t="s">
        <v>100</v>
      </c>
      <c r="G163" s="8" t="s">
        <v>710</v>
      </c>
      <c r="H163">
        <v>400</v>
      </c>
      <c r="I163" s="8">
        <v>1300</v>
      </c>
      <c r="J163" s="9">
        <v>0.000192571481052448</v>
      </c>
      <c r="K163">
        <v>1300</v>
      </c>
      <c r="L163">
        <v>0</v>
      </c>
      <c r="M163" s="10">
        <v>1</v>
      </c>
      <c r="N163" s="10">
        <v>0</v>
      </c>
      <c r="O163" s="9">
        <v>0.008406041</v>
      </c>
      <c r="P163" s="9">
        <v>0.008406041</v>
      </c>
      <c r="Q163" s="9">
        <v>0</v>
      </c>
      <c r="R163" t="s">
        <v>38</v>
      </c>
      <c r="S163" s="8">
        <v>97</v>
      </c>
      <c r="T163" t="s">
        <v>390</v>
      </c>
      <c r="U163" t="s">
        <v>70</v>
      </c>
      <c r="V163" s="8">
        <v>3</v>
      </c>
      <c r="W163" t="s">
        <v>56</v>
      </c>
      <c r="X163" t="s">
        <v>711</v>
      </c>
      <c r="Y163" s="8">
        <v>1801</v>
      </c>
      <c r="Z163" s="8">
        <v>1209</v>
      </c>
      <c r="AA163" s="8">
        <v>592</v>
      </c>
    </row>
    <row r="164" ht="36" customHeight="1" spans="1:27">
      <c r="A164" t="s">
        <v>712</v>
      </c>
      <c r="B164" t="str">
        <f>_xlfn.DISPIMG("ID_810D5952619940F1A840E0C5BE69F304",1)</f>
        <v>=DISPIMG("ID_810D5952619940F1A840E0C5BE69F304",1)</v>
      </c>
      <c r="C164" t="s">
        <v>713</v>
      </c>
      <c r="D164" t="s">
        <v>712</v>
      </c>
      <c r="E164" s="7">
        <v>119.99</v>
      </c>
      <c r="F164" s="7" t="s">
        <v>115</v>
      </c>
      <c r="G164" s="8" t="s">
        <v>317</v>
      </c>
      <c r="H164">
        <v>50</v>
      </c>
      <c r="I164" s="8">
        <v>1300</v>
      </c>
      <c r="J164" s="9">
        <v>0.000192571481052448</v>
      </c>
      <c r="K164">
        <v>0</v>
      </c>
      <c r="L164">
        <v>1300</v>
      </c>
      <c r="M164" s="10">
        <v>0</v>
      </c>
      <c r="N164" s="10">
        <v>1</v>
      </c>
      <c r="O164" s="9">
        <v>0.008035714</v>
      </c>
      <c r="P164" s="9">
        <v>0</v>
      </c>
      <c r="Q164" s="9">
        <v>0.008035714</v>
      </c>
      <c r="R164" t="s">
        <v>38</v>
      </c>
      <c r="S164" s="8">
        <v>16</v>
      </c>
      <c r="T164" t="s">
        <v>110</v>
      </c>
      <c r="U164" t="s">
        <v>465</v>
      </c>
      <c r="V164" s="8">
        <v>10</v>
      </c>
      <c r="W164" t="s">
        <v>118</v>
      </c>
      <c r="X164" t="s">
        <v>714</v>
      </c>
      <c r="Y164" s="8">
        <v>187</v>
      </c>
      <c r="Z164" s="8">
        <v>93</v>
      </c>
      <c r="AA164" s="8">
        <v>94</v>
      </c>
    </row>
    <row r="165" ht="36" customHeight="1" spans="1:27">
      <c r="A165" t="s">
        <v>715</v>
      </c>
      <c r="B165" t="str">
        <f>_xlfn.DISPIMG("ID_18323A8703844133A6E04C0E700E9884",1)</f>
        <v>=DISPIMG("ID_18323A8703844133A6E04C0E700E9884",1)</v>
      </c>
      <c r="C165" t="s">
        <v>716</v>
      </c>
      <c r="D165" t="s">
        <v>715</v>
      </c>
      <c r="E165" s="7">
        <v>69</v>
      </c>
      <c r="F165" s="7" t="s">
        <v>107</v>
      </c>
      <c r="G165" s="8" t="s">
        <v>160</v>
      </c>
      <c r="H165">
        <v>100</v>
      </c>
      <c r="I165" s="8">
        <v>1288</v>
      </c>
      <c r="J165" s="9">
        <v>0.000190793898150425</v>
      </c>
      <c r="K165">
        <v>87</v>
      </c>
      <c r="L165">
        <v>1201</v>
      </c>
      <c r="M165" s="10">
        <v>0.06754658</v>
      </c>
      <c r="N165" s="10">
        <v>0.9324534</v>
      </c>
      <c r="O165" s="9">
        <v>0.007952238</v>
      </c>
      <c r="P165" s="9">
        <v>0.0005374258</v>
      </c>
      <c r="Q165" s="9">
        <v>0.0074148127</v>
      </c>
      <c r="R165" t="s">
        <v>38</v>
      </c>
      <c r="S165" s="8">
        <v>137</v>
      </c>
      <c r="T165" t="s">
        <v>276</v>
      </c>
      <c r="U165" t="s">
        <v>529</v>
      </c>
      <c r="V165" s="8">
        <v>12</v>
      </c>
      <c r="W165" t="s">
        <v>717</v>
      </c>
      <c r="X165" t="s">
        <v>125</v>
      </c>
      <c r="Y165" s="8">
        <v>691</v>
      </c>
      <c r="Z165" s="8">
        <v>318</v>
      </c>
      <c r="AA165" s="8">
        <v>373</v>
      </c>
    </row>
    <row r="166" ht="36" customHeight="1" spans="1:27">
      <c r="A166" t="s">
        <v>718</v>
      </c>
      <c r="B166" t="str">
        <f>_xlfn.DISPIMG("ID_CF213392A83B4E3FA5FB13D3596F7958",1)</f>
        <v>=DISPIMG("ID_CF213392A83B4E3FA5FB13D3596F7958",1)</v>
      </c>
      <c r="C166" t="s">
        <v>719</v>
      </c>
      <c r="D166" t="s">
        <v>718</v>
      </c>
      <c r="E166" s="7">
        <v>69.99</v>
      </c>
      <c r="F166" s="7" t="s">
        <v>100</v>
      </c>
      <c r="G166" s="8" t="s">
        <v>593</v>
      </c>
      <c r="H166">
        <v>0</v>
      </c>
      <c r="I166" s="8">
        <v>1166</v>
      </c>
      <c r="J166" s="9">
        <v>0.000172721805313195</v>
      </c>
      <c r="K166">
        <v>0</v>
      </c>
      <c r="L166">
        <v>1166</v>
      </c>
      <c r="M166" s="10">
        <v>0</v>
      </c>
      <c r="N166" s="10">
        <v>1</v>
      </c>
      <c r="O166" s="9">
        <v>0.008077913</v>
      </c>
      <c r="P166" s="9">
        <v>0</v>
      </c>
      <c r="Q166" s="9">
        <v>0.008077913</v>
      </c>
      <c r="R166" t="s">
        <v>169</v>
      </c>
      <c r="S166" s="8">
        <v>107</v>
      </c>
      <c r="T166" t="s">
        <v>717</v>
      </c>
      <c r="U166" t="s">
        <v>720</v>
      </c>
      <c r="V166" s="8">
        <v>7</v>
      </c>
      <c r="W166" t="s">
        <v>111</v>
      </c>
      <c r="X166" t="s">
        <v>148</v>
      </c>
      <c r="Y166" s="8">
        <v>234</v>
      </c>
      <c r="Z166" s="8">
        <v>109</v>
      </c>
      <c r="AA166" s="8">
        <v>125</v>
      </c>
    </row>
    <row r="167" ht="36" customHeight="1" spans="1:27">
      <c r="A167" t="s">
        <v>721</v>
      </c>
      <c r="B167" t="str">
        <f>_xlfn.DISPIMG("ID_9E0B1E4871F04A4FA3072AED20A09EE7",1)</f>
        <v>=DISPIMG("ID_9E0B1E4871F04A4FA3072AED20A09EE7",1)</v>
      </c>
      <c r="C167" t="s">
        <v>722</v>
      </c>
      <c r="D167" t="s">
        <v>721</v>
      </c>
      <c r="E167" s="7">
        <v>159</v>
      </c>
      <c r="F167" s="7" t="s">
        <v>115</v>
      </c>
      <c r="G167" s="8" t="s">
        <v>573</v>
      </c>
      <c r="H167">
        <v>0</v>
      </c>
      <c r="I167" s="8">
        <v>1075</v>
      </c>
      <c r="J167" s="9">
        <v>0.000159241801639524</v>
      </c>
      <c r="K167">
        <v>0</v>
      </c>
      <c r="L167">
        <v>1075</v>
      </c>
      <c r="M167" s="10">
        <v>0</v>
      </c>
      <c r="N167" s="10">
        <v>1</v>
      </c>
      <c r="O167" s="9">
        <v>0.0066964286</v>
      </c>
      <c r="P167" s="9">
        <v>0</v>
      </c>
      <c r="Q167" s="9">
        <v>0.0066964286</v>
      </c>
      <c r="R167" t="s">
        <v>439</v>
      </c>
      <c r="S167" s="8" t="s">
        <v>97</v>
      </c>
      <c r="T167" t="s">
        <v>97</v>
      </c>
      <c r="U167" t="s">
        <v>97</v>
      </c>
      <c r="V167" s="8">
        <v>8</v>
      </c>
      <c r="W167" t="s">
        <v>246</v>
      </c>
      <c r="X167" t="s">
        <v>70</v>
      </c>
      <c r="Y167" s="8">
        <v>168</v>
      </c>
      <c r="Z167" s="8">
        <v>7</v>
      </c>
      <c r="AA167" s="8">
        <v>161</v>
      </c>
    </row>
    <row r="168" ht="36" customHeight="1" spans="1:27">
      <c r="A168" t="s">
        <v>723</v>
      </c>
      <c r="B168" t="str">
        <f>_xlfn.DISPIMG("ID_81FA22230A194C0CBAFEAFBB1675DD00",1)</f>
        <v>=DISPIMG("ID_81FA22230A194C0CBAFEAFBB1675DD00",1)</v>
      </c>
      <c r="C168" t="s">
        <v>724</v>
      </c>
      <c r="D168" t="s">
        <v>723</v>
      </c>
      <c r="E168" s="7">
        <v>89.99</v>
      </c>
      <c r="F168" s="7" t="s">
        <v>115</v>
      </c>
      <c r="G168" s="8" t="s">
        <v>527</v>
      </c>
      <c r="H168">
        <v>0</v>
      </c>
      <c r="I168" s="8">
        <v>1020</v>
      </c>
      <c r="J168" s="9">
        <v>0.00015109454667192</v>
      </c>
      <c r="K168">
        <v>0</v>
      </c>
      <c r="L168">
        <v>1020</v>
      </c>
      <c r="M168" s="10">
        <v>0</v>
      </c>
      <c r="N168" s="10">
        <v>1</v>
      </c>
      <c r="O168" s="9">
        <v>0.0064423247</v>
      </c>
      <c r="P168" s="9">
        <v>0</v>
      </c>
      <c r="Q168" s="9">
        <v>0.0064423247</v>
      </c>
      <c r="R168" t="s">
        <v>439</v>
      </c>
      <c r="S168" s="8" t="s">
        <v>97</v>
      </c>
      <c r="T168" t="s">
        <v>97</v>
      </c>
      <c r="U168" t="s">
        <v>97</v>
      </c>
      <c r="V168" s="8">
        <v>17</v>
      </c>
      <c r="W168" t="s">
        <v>578</v>
      </c>
      <c r="X168" t="s">
        <v>148</v>
      </c>
      <c r="Y168" s="8">
        <v>138</v>
      </c>
      <c r="Z168" s="8">
        <v>28</v>
      </c>
      <c r="AA168" s="8">
        <v>110</v>
      </c>
    </row>
    <row r="169" ht="36" customHeight="1" spans="1:27">
      <c r="A169" t="s">
        <v>725</v>
      </c>
      <c r="B169" t="str">
        <f>_xlfn.DISPIMG("ID_C15052A010624AF7924832EEF290B69C",1)</f>
        <v>=DISPIMG("ID_C15052A010624AF7924832EEF290B69C",1)</v>
      </c>
      <c r="C169" t="s">
        <v>552</v>
      </c>
      <c r="D169" t="s">
        <v>725</v>
      </c>
      <c r="E169" s="7">
        <v>194.35</v>
      </c>
      <c r="F169" s="7" t="s">
        <v>65</v>
      </c>
      <c r="G169" s="8" t="s">
        <v>413</v>
      </c>
      <c r="H169">
        <v>300</v>
      </c>
      <c r="I169" s="8">
        <v>954</v>
      </c>
      <c r="J169" s="9">
        <v>0.000141317840710796</v>
      </c>
      <c r="K169">
        <v>0</v>
      </c>
      <c r="L169">
        <v>954</v>
      </c>
      <c r="M169" s="10">
        <v>0</v>
      </c>
      <c r="N169" s="10">
        <v>1</v>
      </c>
      <c r="O169" s="9">
        <v>0.0058928574</v>
      </c>
      <c r="P169" s="9">
        <v>0</v>
      </c>
      <c r="Q169" s="9">
        <v>0.0058928574</v>
      </c>
      <c r="R169" t="s">
        <v>38</v>
      </c>
      <c r="S169" s="8">
        <v>44</v>
      </c>
      <c r="T169" t="s">
        <v>254</v>
      </c>
      <c r="U169" t="s">
        <v>465</v>
      </c>
      <c r="V169" s="8">
        <v>19</v>
      </c>
      <c r="W169" t="s">
        <v>444</v>
      </c>
      <c r="X169" t="s">
        <v>726</v>
      </c>
      <c r="Y169" s="8">
        <v>1473</v>
      </c>
      <c r="Z169" s="8">
        <v>1407</v>
      </c>
      <c r="AA169" s="8">
        <v>66</v>
      </c>
    </row>
    <row r="170" ht="36" customHeight="1" spans="1:27">
      <c r="A170" t="s">
        <v>727</v>
      </c>
      <c r="B170" t="str">
        <f>_xlfn.DISPIMG("ID_9655DADB5A44437581A3F573A33DF455",1)</f>
        <v>=DISPIMG("ID_9655DADB5A44437581A3F573A33DF455",1)</v>
      </c>
      <c r="C170" t="s">
        <v>728</v>
      </c>
      <c r="D170" t="s">
        <v>727</v>
      </c>
      <c r="E170" s="7">
        <v>97.99</v>
      </c>
      <c r="F170" s="7" t="s">
        <v>65</v>
      </c>
      <c r="G170" s="8" t="s">
        <v>182</v>
      </c>
      <c r="H170">
        <v>0</v>
      </c>
      <c r="I170" s="8">
        <v>918</v>
      </c>
      <c r="J170" s="9">
        <v>0.000135985092004728</v>
      </c>
      <c r="K170">
        <v>0</v>
      </c>
      <c r="L170">
        <v>918</v>
      </c>
      <c r="M170" s="10">
        <v>0</v>
      </c>
      <c r="N170" s="10">
        <v>1</v>
      </c>
      <c r="O170" s="9">
        <v>0.006026786</v>
      </c>
      <c r="P170" s="9">
        <v>0</v>
      </c>
      <c r="Q170" s="9">
        <v>0.006026786</v>
      </c>
      <c r="R170" t="s">
        <v>506</v>
      </c>
      <c r="S170" s="8">
        <v>139</v>
      </c>
      <c r="T170" t="s">
        <v>276</v>
      </c>
      <c r="U170" t="s">
        <v>729</v>
      </c>
      <c r="V170" s="8" t="s">
        <v>97</v>
      </c>
      <c r="W170" t="s">
        <v>97</v>
      </c>
      <c r="X170" t="s">
        <v>97</v>
      </c>
      <c r="Y170" s="8">
        <v>105</v>
      </c>
      <c r="Z170" s="8">
        <v>26</v>
      </c>
      <c r="AA170" s="8">
        <v>79</v>
      </c>
    </row>
    <row r="171" ht="36" customHeight="1" spans="1:27">
      <c r="A171" t="s">
        <v>730</v>
      </c>
      <c r="B171" t="str">
        <f>_xlfn.DISPIMG("ID_6A98AFBDD8094E7F9F254C010C1ABAD3",1)</f>
        <v>=DISPIMG("ID_6A98AFBDD8094E7F9F254C010C1ABAD3",1)</v>
      </c>
      <c r="C171" t="s">
        <v>731</v>
      </c>
      <c r="D171" t="s">
        <v>730</v>
      </c>
      <c r="E171" s="7">
        <v>34.99</v>
      </c>
      <c r="F171" s="7" t="s">
        <v>654</v>
      </c>
      <c r="G171" s="8" t="s">
        <v>501</v>
      </c>
      <c r="H171">
        <v>0</v>
      </c>
      <c r="I171" s="8">
        <v>860</v>
      </c>
      <c r="J171" s="9">
        <v>0.000127393441311619</v>
      </c>
      <c r="K171">
        <v>0</v>
      </c>
      <c r="L171">
        <v>860</v>
      </c>
      <c r="M171" s="10">
        <v>0</v>
      </c>
      <c r="N171" s="10">
        <v>1</v>
      </c>
      <c r="O171" s="9">
        <v>0.005952381</v>
      </c>
      <c r="P171" s="9">
        <v>0</v>
      </c>
      <c r="Q171" s="9">
        <v>0.005952381</v>
      </c>
      <c r="R171" t="s">
        <v>606</v>
      </c>
      <c r="S171" s="8" t="s">
        <v>97</v>
      </c>
      <c r="T171" t="s">
        <v>97</v>
      </c>
      <c r="U171" t="s">
        <v>97</v>
      </c>
      <c r="V171" s="8">
        <v>10</v>
      </c>
      <c r="W171" t="s">
        <v>118</v>
      </c>
      <c r="X171" t="s">
        <v>179</v>
      </c>
      <c r="Y171" s="8">
        <v>83</v>
      </c>
      <c r="Z171" s="8">
        <v>45</v>
      </c>
      <c r="AA171" s="8">
        <v>38</v>
      </c>
    </row>
    <row r="172" ht="36" customHeight="1" spans="1:27">
      <c r="A172" t="s">
        <v>732</v>
      </c>
      <c r="B172" t="str">
        <f>_xlfn.DISPIMG("ID_C23E49A0892C4DF9BF1E23B195C61225",1)</f>
        <v>=DISPIMG("ID_C23E49A0892C4DF9BF1E23B195C61225",1)</v>
      </c>
      <c r="C172" t="s">
        <v>733</v>
      </c>
      <c r="D172" t="s">
        <v>732</v>
      </c>
      <c r="E172" s="7">
        <v>99.99</v>
      </c>
      <c r="F172" s="7" t="s">
        <v>214</v>
      </c>
      <c r="G172" s="8" t="s">
        <v>734</v>
      </c>
      <c r="H172">
        <v>0</v>
      </c>
      <c r="I172" s="8">
        <v>836</v>
      </c>
      <c r="J172" s="9">
        <v>0.000123838275507574</v>
      </c>
      <c r="K172">
        <v>836</v>
      </c>
      <c r="L172">
        <v>0</v>
      </c>
      <c r="M172" s="10">
        <v>1</v>
      </c>
      <c r="N172" s="10">
        <v>0</v>
      </c>
      <c r="O172" s="9">
        <v>0.005162384</v>
      </c>
      <c r="P172" s="9">
        <v>0.005162384</v>
      </c>
      <c r="Q172" s="9">
        <v>0</v>
      </c>
      <c r="R172" t="s">
        <v>95</v>
      </c>
      <c r="S172" s="8">
        <v>3</v>
      </c>
      <c r="T172" t="s">
        <v>56</v>
      </c>
      <c r="U172" t="s">
        <v>735</v>
      </c>
      <c r="V172" s="8" t="s">
        <v>97</v>
      </c>
      <c r="W172" t="s">
        <v>97</v>
      </c>
      <c r="X172" t="s">
        <v>97</v>
      </c>
      <c r="Y172" s="8">
        <v>107</v>
      </c>
      <c r="Z172" s="8">
        <v>107</v>
      </c>
      <c r="AA172" s="8">
        <v>0</v>
      </c>
    </row>
    <row r="173" ht="36" customHeight="1" spans="1:27">
      <c r="A173" t="s">
        <v>736</v>
      </c>
      <c r="B173" t="str">
        <f>_xlfn.DISPIMG("ID_3649D9E59C3F4528B1BA280975A5944F",1)</f>
        <v>=DISPIMG("ID_3649D9E59C3F4528B1BA280975A5944F",1)</v>
      </c>
      <c r="C173" t="s">
        <v>737</v>
      </c>
      <c r="D173" t="s">
        <v>736</v>
      </c>
      <c r="E173" s="7">
        <v>299.99</v>
      </c>
      <c r="F173" s="7" t="s">
        <v>65</v>
      </c>
      <c r="G173" s="8" t="s">
        <v>438</v>
      </c>
      <c r="H173">
        <v>50</v>
      </c>
      <c r="I173" s="8">
        <v>822</v>
      </c>
      <c r="J173" s="9">
        <v>0.000121764428788548</v>
      </c>
      <c r="K173">
        <v>0</v>
      </c>
      <c r="L173">
        <v>822</v>
      </c>
      <c r="M173" s="10">
        <v>0</v>
      </c>
      <c r="N173" s="10">
        <v>1</v>
      </c>
      <c r="O173" s="9">
        <v>0.0050840327</v>
      </c>
      <c r="P173" s="9">
        <v>0</v>
      </c>
      <c r="Q173" s="9">
        <v>0.0050840327</v>
      </c>
      <c r="R173" t="s">
        <v>38</v>
      </c>
      <c r="S173" s="8">
        <v>114</v>
      </c>
      <c r="T173" t="s">
        <v>603</v>
      </c>
      <c r="U173" t="s">
        <v>738</v>
      </c>
      <c r="V173" s="8">
        <v>12</v>
      </c>
      <c r="W173" t="s">
        <v>76</v>
      </c>
      <c r="X173" t="s">
        <v>184</v>
      </c>
      <c r="Y173" s="8">
        <v>144</v>
      </c>
      <c r="Z173" s="8">
        <v>28</v>
      </c>
      <c r="AA173" s="8">
        <v>116</v>
      </c>
    </row>
    <row r="174" ht="36" customHeight="1" spans="1:27">
      <c r="A174" t="s">
        <v>739</v>
      </c>
      <c r="B174" t="str">
        <f>_xlfn.DISPIMG("ID_B24D16EFC430463D8D0A51FB057FA4AF",1)</f>
        <v>=DISPIMG("ID_B24D16EFC430463D8D0A51FB057FA4AF",1)</v>
      </c>
      <c r="C174" t="s">
        <v>740</v>
      </c>
      <c r="D174" t="s">
        <v>739</v>
      </c>
      <c r="E174" s="7">
        <v>299</v>
      </c>
      <c r="F174" s="7" t="s">
        <v>115</v>
      </c>
      <c r="G174" s="8" t="s">
        <v>573</v>
      </c>
      <c r="H174">
        <v>0</v>
      </c>
      <c r="I174" s="8">
        <v>737</v>
      </c>
      <c r="J174" s="9">
        <v>0.000109173216565888</v>
      </c>
      <c r="K174">
        <v>0</v>
      </c>
      <c r="L174">
        <v>737</v>
      </c>
      <c r="M174" s="10">
        <v>0</v>
      </c>
      <c r="N174" s="10">
        <v>1</v>
      </c>
      <c r="O174" s="9">
        <v>0.0045535713</v>
      </c>
      <c r="P174" s="9">
        <v>0</v>
      </c>
      <c r="Q174" s="9">
        <v>0.0045535713</v>
      </c>
      <c r="R174" t="s">
        <v>741</v>
      </c>
      <c r="S174" s="8" t="s">
        <v>97</v>
      </c>
      <c r="T174" t="s">
        <v>97</v>
      </c>
      <c r="U174" t="s">
        <v>97</v>
      </c>
      <c r="V174" s="8" t="s">
        <v>97</v>
      </c>
      <c r="W174" t="s">
        <v>97</v>
      </c>
      <c r="X174" t="s">
        <v>97</v>
      </c>
      <c r="Y174" s="8">
        <v>49</v>
      </c>
      <c r="Z174" s="8">
        <v>19</v>
      </c>
      <c r="AA174" s="8">
        <v>30</v>
      </c>
    </row>
    <row r="175" ht="36" customHeight="1" spans="1:27">
      <c r="A175" t="s">
        <v>742</v>
      </c>
      <c r="B175" t="str">
        <f>_xlfn.DISPIMG("ID_480720CCDA3041308A60B614D90035E3",1)</f>
        <v>=DISPIMG("ID_480720CCDA3041308A60B614D90035E3",1)</v>
      </c>
      <c r="C175" t="s">
        <v>743</v>
      </c>
      <c r="D175" t="s">
        <v>742</v>
      </c>
      <c r="E175" s="7">
        <v>59.99</v>
      </c>
      <c r="F175" s="7" t="s">
        <v>459</v>
      </c>
      <c r="G175" s="8" t="s">
        <v>459</v>
      </c>
      <c r="H175">
        <v>0</v>
      </c>
      <c r="I175" s="8">
        <v>736</v>
      </c>
      <c r="J175" s="9">
        <v>0.000109025084657386</v>
      </c>
      <c r="K175">
        <v>736</v>
      </c>
      <c r="L175">
        <v>0</v>
      </c>
      <c r="M175" s="10">
        <v>1</v>
      </c>
      <c r="N175" s="10">
        <v>0</v>
      </c>
      <c r="O175" s="9">
        <v>0.0045471336</v>
      </c>
      <c r="P175" s="9">
        <v>0.0045471336</v>
      </c>
      <c r="Q175" s="9">
        <v>0</v>
      </c>
      <c r="R175" t="s">
        <v>95</v>
      </c>
      <c r="S175" s="8">
        <v>5</v>
      </c>
      <c r="T175" t="s">
        <v>117</v>
      </c>
      <c r="U175" t="s">
        <v>735</v>
      </c>
      <c r="V175" s="8" t="s">
        <v>97</v>
      </c>
      <c r="W175" t="s">
        <v>97</v>
      </c>
      <c r="X175" t="s">
        <v>97</v>
      </c>
      <c r="Y175" s="8">
        <v>61</v>
      </c>
      <c r="Z175" s="8">
        <v>61</v>
      </c>
      <c r="AA175" s="8">
        <v>0</v>
      </c>
    </row>
    <row r="176" ht="36" customHeight="1" spans="1:27">
      <c r="A176" t="s">
        <v>744</v>
      </c>
      <c r="B176" t="str">
        <f>_xlfn.DISPIMG("ID_D8EFD9632E004E4DAD2D0BAA1A376588",1)</f>
        <v>=DISPIMG("ID_D8EFD9632E004E4DAD2D0BAA1A376588",1)</v>
      </c>
      <c r="C176" t="s">
        <v>745</v>
      </c>
      <c r="D176" t="s">
        <v>744</v>
      </c>
      <c r="E176" s="7">
        <v>71.99</v>
      </c>
      <c r="F176" s="7" t="s">
        <v>65</v>
      </c>
      <c r="G176" s="8" t="s">
        <v>452</v>
      </c>
      <c r="H176">
        <v>0</v>
      </c>
      <c r="I176" s="8">
        <v>726</v>
      </c>
      <c r="J176" s="9">
        <v>0.000107543765572367</v>
      </c>
      <c r="K176">
        <v>465</v>
      </c>
      <c r="L176">
        <v>261</v>
      </c>
      <c r="M176" s="10">
        <v>0.6404959</v>
      </c>
      <c r="N176" s="10">
        <v>0.35950413</v>
      </c>
      <c r="O176" s="9">
        <v>0.004535539</v>
      </c>
      <c r="P176" s="9">
        <v>0.0029265562</v>
      </c>
      <c r="Q176" s="9">
        <v>0.001608983</v>
      </c>
      <c r="R176" t="s">
        <v>152</v>
      </c>
      <c r="S176" s="8">
        <v>125</v>
      </c>
      <c r="T176" t="s">
        <v>746</v>
      </c>
      <c r="U176" t="s">
        <v>747</v>
      </c>
      <c r="V176" s="8">
        <v>16</v>
      </c>
      <c r="W176" t="s">
        <v>32</v>
      </c>
      <c r="X176" t="s">
        <v>184</v>
      </c>
      <c r="Y176" s="8">
        <v>102</v>
      </c>
      <c r="Z176" s="8">
        <v>48</v>
      </c>
      <c r="AA176" s="8">
        <v>54</v>
      </c>
    </row>
    <row r="177" ht="36" customHeight="1" spans="1:27">
      <c r="A177" t="s">
        <v>748</v>
      </c>
      <c r="B177" t="str">
        <f>_xlfn.DISPIMG("ID_0569CCC976194FA7AD2D325FF42F5B96",1)</f>
        <v>=DISPIMG("ID_0569CCC976194FA7AD2D325FF42F5B96",1)</v>
      </c>
      <c r="C177" t="s">
        <v>749</v>
      </c>
      <c r="D177" t="s">
        <v>748</v>
      </c>
      <c r="E177" s="7">
        <v>69.99</v>
      </c>
      <c r="F177" s="7" t="s">
        <v>100</v>
      </c>
      <c r="G177" s="8" t="s">
        <v>750</v>
      </c>
      <c r="H177">
        <v>100</v>
      </c>
      <c r="I177" s="8">
        <v>695</v>
      </c>
      <c r="J177" s="9">
        <v>0.000102951676408809</v>
      </c>
      <c r="K177">
        <v>695</v>
      </c>
      <c r="L177">
        <v>0</v>
      </c>
      <c r="M177" s="10">
        <v>1</v>
      </c>
      <c r="N177" s="10">
        <v>0</v>
      </c>
      <c r="O177" s="9">
        <v>0.0042926003</v>
      </c>
      <c r="P177" s="9">
        <v>0.0042926003</v>
      </c>
      <c r="Q177" s="9">
        <v>0</v>
      </c>
      <c r="R177" t="s">
        <v>95</v>
      </c>
      <c r="S177" s="8">
        <v>6</v>
      </c>
      <c r="T177" t="s">
        <v>30</v>
      </c>
      <c r="U177" t="s">
        <v>735</v>
      </c>
      <c r="V177" s="8" t="s">
        <v>97</v>
      </c>
      <c r="W177" t="s">
        <v>97</v>
      </c>
      <c r="X177" t="s">
        <v>97</v>
      </c>
      <c r="Y177" s="8">
        <v>58</v>
      </c>
      <c r="Z177" s="8">
        <v>45</v>
      </c>
      <c r="AA177" s="8">
        <v>13</v>
      </c>
    </row>
    <row r="178" ht="36" customHeight="1" spans="1:27">
      <c r="A178" t="s">
        <v>751</v>
      </c>
      <c r="B178" t="str">
        <f>_xlfn.DISPIMG("ID_AEDAD3240A494F14AD25BDE215F5A329",1)</f>
        <v>=DISPIMG("ID_AEDAD3240A494F14AD25BDE215F5A329",1)</v>
      </c>
      <c r="C178" t="s">
        <v>752</v>
      </c>
      <c r="D178" t="s">
        <v>751</v>
      </c>
      <c r="E178" s="7">
        <v>164.99</v>
      </c>
      <c r="F178" s="7" t="s">
        <v>753</v>
      </c>
      <c r="G178" s="8" t="s">
        <v>754</v>
      </c>
      <c r="H178">
        <v>0</v>
      </c>
      <c r="I178" s="8">
        <v>678</v>
      </c>
      <c r="J178" s="9">
        <v>0.000100433433964277</v>
      </c>
      <c r="K178">
        <v>678</v>
      </c>
      <c r="L178">
        <v>0</v>
      </c>
      <c r="M178" s="10">
        <v>1</v>
      </c>
      <c r="N178" s="10">
        <v>0</v>
      </c>
      <c r="O178" s="9">
        <v>0.004179942</v>
      </c>
      <c r="P178" s="9">
        <v>0.004179942</v>
      </c>
      <c r="Q178" s="9">
        <v>0</v>
      </c>
      <c r="R178" t="s">
        <v>95</v>
      </c>
      <c r="S178" s="8">
        <v>134</v>
      </c>
      <c r="T178" t="s">
        <v>755</v>
      </c>
      <c r="U178" t="s">
        <v>297</v>
      </c>
      <c r="V178" s="8" t="s">
        <v>97</v>
      </c>
      <c r="W178" t="s">
        <v>97</v>
      </c>
      <c r="X178" t="s">
        <v>97</v>
      </c>
      <c r="Y178" s="8">
        <v>76</v>
      </c>
      <c r="Z178" s="8">
        <v>76</v>
      </c>
      <c r="AA178" s="8">
        <v>0</v>
      </c>
    </row>
    <row r="179" ht="36" customHeight="1" spans="1:27">
      <c r="A179" t="s">
        <v>756</v>
      </c>
      <c r="B179" t="str">
        <f>_xlfn.DISPIMG("ID_4A27653F2FB64E11A76688B0176CD79F",1)</f>
        <v>=DISPIMG("ID_4A27653F2FB64E11A76688B0176CD79F",1)</v>
      </c>
      <c r="C179" t="s">
        <v>757</v>
      </c>
      <c r="D179" t="s">
        <v>756</v>
      </c>
      <c r="E179" s="7">
        <v>49.99</v>
      </c>
      <c r="F179" s="7" t="s">
        <v>36</v>
      </c>
      <c r="G179" s="8" t="s">
        <v>139</v>
      </c>
      <c r="H179">
        <v>50</v>
      </c>
      <c r="I179" s="8">
        <v>659</v>
      </c>
      <c r="J179" s="9">
        <v>9.76189277027407e-5</v>
      </c>
      <c r="K179">
        <v>659</v>
      </c>
      <c r="L179">
        <v>0</v>
      </c>
      <c r="M179" s="10">
        <v>1</v>
      </c>
      <c r="N179" s="10">
        <v>0</v>
      </c>
      <c r="O179" s="9">
        <v>0.0040679756</v>
      </c>
      <c r="P179" s="9">
        <v>0.0040679756</v>
      </c>
      <c r="Q179" s="9">
        <v>0</v>
      </c>
      <c r="R179" t="s">
        <v>152</v>
      </c>
      <c r="S179" s="8">
        <v>7</v>
      </c>
      <c r="T179" t="s">
        <v>111</v>
      </c>
      <c r="U179" t="s">
        <v>281</v>
      </c>
      <c r="V179" s="8">
        <v>1</v>
      </c>
      <c r="W179" t="s">
        <v>47</v>
      </c>
      <c r="X179" t="s">
        <v>758</v>
      </c>
      <c r="Y179" s="8">
        <v>238</v>
      </c>
      <c r="Z179" s="8">
        <v>238</v>
      </c>
      <c r="AA179" s="8">
        <v>0</v>
      </c>
    </row>
    <row r="180" ht="36" customHeight="1" spans="1:27">
      <c r="A180" t="s">
        <v>759</v>
      </c>
      <c r="B180" t="str">
        <f>_xlfn.DISPIMG("ID_081FAA064A50457F8BB70C03AB097477",1)</f>
        <v>=DISPIMG("ID_081FAA064A50457F8BB70C03AB097477",1)</v>
      </c>
      <c r="C180" t="s">
        <v>760</v>
      </c>
      <c r="D180" t="s">
        <v>759</v>
      </c>
      <c r="E180" s="7">
        <v>105</v>
      </c>
      <c r="F180" s="7" t="s">
        <v>195</v>
      </c>
      <c r="G180" s="8" t="s">
        <v>761</v>
      </c>
      <c r="H180">
        <v>0</v>
      </c>
      <c r="I180" s="8">
        <v>657</v>
      </c>
      <c r="J180" s="9">
        <v>9.7322663885737e-5</v>
      </c>
      <c r="K180">
        <v>0</v>
      </c>
      <c r="L180">
        <v>657</v>
      </c>
      <c r="M180" s="10">
        <v>0</v>
      </c>
      <c r="N180" s="10">
        <v>1</v>
      </c>
      <c r="O180" s="9">
        <v>0.0045471336</v>
      </c>
      <c r="P180" s="9">
        <v>0</v>
      </c>
      <c r="Q180" s="9">
        <v>0.0045471336</v>
      </c>
      <c r="R180" t="s">
        <v>606</v>
      </c>
      <c r="S180" s="8" t="s">
        <v>97</v>
      </c>
      <c r="T180" t="s">
        <v>97</v>
      </c>
      <c r="U180" t="s">
        <v>97</v>
      </c>
      <c r="V180" s="8">
        <v>2</v>
      </c>
      <c r="W180" t="s">
        <v>39</v>
      </c>
      <c r="X180" t="s">
        <v>762</v>
      </c>
      <c r="Y180" s="8">
        <v>117</v>
      </c>
      <c r="Z180" s="8">
        <v>33</v>
      </c>
      <c r="AA180" s="8">
        <v>84</v>
      </c>
    </row>
    <row r="181" ht="36" customHeight="1" spans="1:27">
      <c r="A181" t="s">
        <v>763</v>
      </c>
      <c r="B181" t="str">
        <f>_xlfn.DISPIMG("ID_65CF8691536049D3B82B46B277BC1E41",1)</f>
        <v>=DISPIMG("ID_65CF8691536049D3B82B46B277BC1E41",1)</v>
      </c>
      <c r="C181" t="s">
        <v>764</v>
      </c>
      <c r="D181" t="s">
        <v>763</v>
      </c>
      <c r="E181" s="7">
        <v>99.99</v>
      </c>
      <c r="F181" s="7" t="s">
        <v>107</v>
      </c>
      <c r="G181" s="8" t="s">
        <v>116</v>
      </c>
      <c r="H181">
        <v>50</v>
      </c>
      <c r="I181" s="8">
        <v>619</v>
      </c>
      <c r="J181" s="9">
        <v>9.16936513626654e-5</v>
      </c>
      <c r="K181">
        <v>619</v>
      </c>
      <c r="L181">
        <v>0</v>
      </c>
      <c r="M181" s="10">
        <v>1</v>
      </c>
      <c r="N181" s="10">
        <v>0</v>
      </c>
      <c r="O181" s="9">
        <v>0.0038209874</v>
      </c>
      <c r="P181" s="9">
        <v>0.0038209874</v>
      </c>
      <c r="Q181" s="9">
        <v>0</v>
      </c>
      <c r="R181" t="s">
        <v>765</v>
      </c>
      <c r="S181" s="8">
        <v>140</v>
      </c>
      <c r="T181" t="s">
        <v>636</v>
      </c>
      <c r="U181" t="s">
        <v>766</v>
      </c>
      <c r="V181" s="8">
        <v>17</v>
      </c>
      <c r="W181" t="s">
        <v>103</v>
      </c>
      <c r="X181" t="s">
        <v>250</v>
      </c>
      <c r="Y181" s="8">
        <v>602</v>
      </c>
      <c r="Z181" s="8">
        <v>524</v>
      </c>
      <c r="AA181" s="8">
        <v>78</v>
      </c>
    </row>
    <row r="182" ht="36" customHeight="1" spans="1:27">
      <c r="A182" t="s">
        <v>767</v>
      </c>
      <c r="B182" t="str">
        <f>_xlfn.DISPIMG("ID_6479A6B829CE479DA28F6F54AD1131E9",1)</f>
        <v>=DISPIMG("ID_6479A6B829CE479DA28F6F54AD1131E9",1)</v>
      </c>
      <c r="C182" t="s">
        <v>768</v>
      </c>
      <c r="D182" t="s">
        <v>767</v>
      </c>
      <c r="E182" s="7">
        <v>89.99</v>
      </c>
      <c r="F182" s="7" t="s">
        <v>128</v>
      </c>
      <c r="G182" s="8" t="s">
        <v>769</v>
      </c>
      <c r="H182">
        <v>0</v>
      </c>
      <c r="I182" s="8">
        <v>598</v>
      </c>
      <c r="J182" s="9">
        <v>8.85828812841259e-5</v>
      </c>
      <c r="K182">
        <v>0</v>
      </c>
      <c r="L182">
        <v>598</v>
      </c>
      <c r="M182" s="10">
        <v>0</v>
      </c>
      <c r="N182" s="10">
        <v>1</v>
      </c>
      <c r="O182" s="9">
        <v>0.0036948076</v>
      </c>
      <c r="P182" s="9">
        <v>0</v>
      </c>
      <c r="Q182" s="9">
        <v>0.0036948076</v>
      </c>
      <c r="R182" t="s">
        <v>606</v>
      </c>
      <c r="S182" s="8" t="s">
        <v>97</v>
      </c>
      <c r="T182" t="s">
        <v>97</v>
      </c>
      <c r="U182" t="s">
        <v>97</v>
      </c>
      <c r="V182" s="8">
        <v>3</v>
      </c>
      <c r="W182" t="s">
        <v>56</v>
      </c>
      <c r="X182" t="s">
        <v>770</v>
      </c>
      <c r="Y182" s="8">
        <v>360</v>
      </c>
      <c r="Z182" s="8">
        <v>85</v>
      </c>
      <c r="AA182" s="8">
        <v>275</v>
      </c>
    </row>
    <row r="183" ht="36" customHeight="1" spans="1:27">
      <c r="A183" t="s">
        <v>771</v>
      </c>
      <c r="B183" t="str">
        <f>_xlfn.DISPIMG("ID_07A95F68B3954E2C886E1FAE61D1AB95",1)</f>
        <v>=DISPIMG("ID_07A95F68B3954E2C886E1FAE61D1AB95",1)</v>
      </c>
      <c r="C183" t="s">
        <v>772</v>
      </c>
      <c r="D183" t="s">
        <v>771</v>
      </c>
      <c r="E183" s="7">
        <v>79.99</v>
      </c>
      <c r="F183" s="7" t="s">
        <v>459</v>
      </c>
      <c r="G183" s="8" t="s">
        <v>459</v>
      </c>
      <c r="H183">
        <v>0</v>
      </c>
      <c r="I183" s="8">
        <v>573</v>
      </c>
      <c r="J183" s="9">
        <v>8.48795835715788e-5</v>
      </c>
      <c r="K183">
        <v>573</v>
      </c>
      <c r="L183">
        <v>0</v>
      </c>
      <c r="M183" s="10">
        <v>1</v>
      </c>
      <c r="N183" s="10">
        <v>0</v>
      </c>
      <c r="O183" s="9">
        <v>0.0035404253</v>
      </c>
      <c r="P183" s="9">
        <v>0.0035404253</v>
      </c>
      <c r="Q183" s="9">
        <v>0</v>
      </c>
      <c r="R183" t="s">
        <v>95</v>
      </c>
      <c r="S183" s="8">
        <v>10</v>
      </c>
      <c r="T183" t="s">
        <v>118</v>
      </c>
      <c r="U183" t="s">
        <v>735</v>
      </c>
      <c r="V183" s="8" t="s">
        <v>97</v>
      </c>
      <c r="W183" t="s">
        <v>97</v>
      </c>
      <c r="X183" t="s">
        <v>97</v>
      </c>
      <c r="Y183" s="8">
        <v>37</v>
      </c>
      <c r="Z183" s="8">
        <v>37</v>
      </c>
      <c r="AA183" s="8">
        <v>0</v>
      </c>
    </row>
    <row r="184" ht="36" customHeight="1" spans="1:27">
      <c r="A184" t="s">
        <v>773</v>
      </c>
      <c r="B184" t="str">
        <f>_xlfn.DISPIMG("ID_7AD00D6FE12443E6A700585D0B5EC76D",1)</f>
        <v>=DISPIMG("ID_7AD00D6FE12443E6A700585D0B5EC76D",1)</v>
      </c>
      <c r="C184" t="s">
        <v>774</v>
      </c>
      <c r="D184" t="s">
        <v>773</v>
      </c>
      <c r="E184" s="7">
        <v>199.95</v>
      </c>
      <c r="F184" s="7" t="s">
        <v>107</v>
      </c>
      <c r="G184" s="8" t="s">
        <v>593</v>
      </c>
      <c r="H184">
        <v>0</v>
      </c>
      <c r="I184" s="8">
        <v>564</v>
      </c>
      <c r="J184" s="9">
        <v>8.35463963950619e-5</v>
      </c>
      <c r="K184">
        <v>0</v>
      </c>
      <c r="L184">
        <v>564</v>
      </c>
      <c r="M184" s="10">
        <v>0</v>
      </c>
      <c r="N184" s="10">
        <v>1</v>
      </c>
      <c r="O184" s="9">
        <v>0.003482143</v>
      </c>
      <c r="P184" s="9">
        <v>0</v>
      </c>
      <c r="Q184" s="9">
        <v>0.003482143</v>
      </c>
      <c r="R184" t="s">
        <v>775</v>
      </c>
      <c r="S184" s="8" t="s">
        <v>97</v>
      </c>
      <c r="T184" t="s">
        <v>97</v>
      </c>
      <c r="U184" t="s">
        <v>97</v>
      </c>
      <c r="V184" s="8" t="s">
        <v>97</v>
      </c>
      <c r="W184" t="s">
        <v>97</v>
      </c>
      <c r="X184" t="s">
        <v>97</v>
      </c>
      <c r="Y184" s="8">
        <v>202</v>
      </c>
      <c r="Z184" s="8">
        <v>82</v>
      </c>
      <c r="AA184" s="8">
        <v>120</v>
      </c>
    </row>
    <row r="185" ht="36" customHeight="1" spans="1:27">
      <c r="A185" t="s">
        <v>776</v>
      </c>
      <c r="B185" t="str">
        <f>_xlfn.DISPIMG("ID_9F82B0931BA64DACAA1DE60D29B96389",1)</f>
        <v>=DISPIMG("ID_9F82B0931BA64DACAA1DE60D29B96389",1)</v>
      </c>
      <c r="C185" t="s">
        <v>777</v>
      </c>
      <c r="D185" t="s">
        <v>776</v>
      </c>
      <c r="E185" s="7">
        <v>79.98</v>
      </c>
      <c r="F185" s="7" t="s">
        <v>27</v>
      </c>
      <c r="G185" s="8" t="s">
        <v>778</v>
      </c>
      <c r="H185">
        <v>0</v>
      </c>
      <c r="I185" s="8">
        <v>552</v>
      </c>
      <c r="J185" s="9">
        <v>8.17688134930393e-5</v>
      </c>
      <c r="K185">
        <v>0</v>
      </c>
      <c r="L185">
        <v>552</v>
      </c>
      <c r="M185" s="10">
        <v>0</v>
      </c>
      <c r="N185" s="10">
        <v>1</v>
      </c>
      <c r="O185" s="9">
        <v>0.0034067389</v>
      </c>
      <c r="P185" s="9">
        <v>0</v>
      </c>
      <c r="Q185" s="9">
        <v>0.0034067389</v>
      </c>
      <c r="R185" t="s">
        <v>606</v>
      </c>
      <c r="S185" s="8" t="s">
        <v>97</v>
      </c>
      <c r="T185" t="s">
        <v>97</v>
      </c>
      <c r="U185" t="s">
        <v>97</v>
      </c>
      <c r="V185" s="8">
        <v>11</v>
      </c>
      <c r="W185" t="s">
        <v>46</v>
      </c>
      <c r="X185" t="s">
        <v>779</v>
      </c>
      <c r="Y185" s="8">
        <v>49</v>
      </c>
      <c r="Z185" s="8">
        <v>5</v>
      </c>
      <c r="AA185" s="8">
        <v>44</v>
      </c>
    </row>
    <row r="186" ht="36" customHeight="1" spans="1:27">
      <c r="A186" t="s">
        <v>780</v>
      </c>
      <c r="B186" t="str">
        <f>_xlfn.DISPIMG("ID_E345FDAEEB7B421DAF8AAFFFA4B713C6",1)</f>
        <v>=DISPIMG("ID_E345FDAEEB7B421DAF8AAFFFA4B713C6",1)</v>
      </c>
      <c r="C186" t="s">
        <v>781</v>
      </c>
      <c r="D186" t="s">
        <v>780</v>
      </c>
      <c r="E186" s="7">
        <v>329.99</v>
      </c>
      <c r="F186" s="7" t="s">
        <v>115</v>
      </c>
      <c r="G186" s="8" t="s">
        <v>573</v>
      </c>
      <c r="H186">
        <v>0</v>
      </c>
      <c r="I186" s="8">
        <v>534</v>
      </c>
      <c r="J186" s="9">
        <v>7.91024391400054e-5</v>
      </c>
      <c r="K186">
        <v>0</v>
      </c>
      <c r="L186">
        <v>534</v>
      </c>
      <c r="M186" s="10">
        <v>0</v>
      </c>
      <c r="N186" s="10">
        <v>1</v>
      </c>
      <c r="O186" s="9">
        <v>0.0036948076</v>
      </c>
      <c r="P186" s="9">
        <v>0</v>
      </c>
      <c r="Q186" s="9">
        <v>0.0036948076</v>
      </c>
      <c r="R186" t="s">
        <v>606</v>
      </c>
      <c r="S186" s="8" t="s">
        <v>97</v>
      </c>
      <c r="T186" t="s">
        <v>97</v>
      </c>
      <c r="U186" t="s">
        <v>97</v>
      </c>
      <c r="V186" s="8">
        <v>3</v>
      </c>
      <c r="W186" t="s">
        <v>56</v>
      </c>
      <c r="X186" t="s">
        <v>782</v>
      </c>
      <c r="Y186" s="8">
        <v>62</v>
      </c>
      <c r="Z186" s="8">
        <v>35</v>
      </c>
      <c r="AA186" s="8">
        <v>27</v>
      </c>
    </row>
    <row r="187" ht="36" customHeight="1" spans="1:27">
      <c r="A187" t="s">
        <v>783</v>
      </c>
      <c r="B187" t="str">
        <f>_xlfn.DISPIMG("ID_13A85EF41ECA4C4ABC977CACC3FE25CF",1)</f>
        <v>=DISPIMG("ID_13A85EF41ECA4C4ABC977CACC3FE25CF",1)</v>
      </c>
      <c r="C187" t="s">
        <v>784</v>
      </c>
      <c r="D187" t="s">
        <v>783</v>
      </c>
      <c r="E187" s="7">
        <v>149.99</v>
      </c>
      <c r="F187" s="7" t="s">
        <v>459</v>
      </c>
      <c r="G187" s="8" t="s">
        <v>459</v>
      </c>
      <c r="H187">
        <v>0</v>
      </c>
      <c r="I187" s="8">
        <v>532</v>
      </c>
      <c r="J187" s="9">
        <v>7.88061753230016e-5</v>
      </c>
      <c r="K187">
        <v>532</v>
      </c>
      <c r="L187">
        <v>0</v>
      </c>
      <c r="M187" s="10">
        <v>1</v>
      </c>
      <c r="N187" s="10">
        <v>0</v>
      </c>
      <c r="O187" s="9">
        <v>0.003283951</v>
      </c>
      <c r="P187" s="9">
        <v>0.003283951</v>
      </c>
      <c r="Q187" s="9">
        <v>0</v>
      </c>
      <c r="R187" t="s">
        <v>95</v>
      </c>
      <c r="S187" s="8">
        <v>12</v>
      </c>
      <c r="T187" t="s">
        <v>76</v>
      </c>
      <c r="U187" t="s">
        <v>735</v>
      </c>
      <c r="V187" s="8" t="s">
        <v>97</v>
      </c>
      <c r="W187" t="s">
        <v>97</v>
      </c>
      <c r="X187" t="s">
        <v>97</v>
      </c>
      <c r="Y187" s="8">
        <v>49</v>
      </c>
      <c r="Z187" s="8">
        <v>49</v>
      </c>
      <c r="AA187" s="8">
        <v>0</v>
      </c>
    </row>
    <row r="188" ht="36" customHeight="1" spans="1:27">
      <c r="A188" t="s">
        <v>785</v>
      </c>
      <c r="B188" t="str">
        <f>_xlfn.DISPIMG("ID_A62942F055B6413293E1D85D799E8E9D",1)</f>
        <v>=DISPIMG("ID_A62942F055B6413293E1D85D799E8E9D",1)</v>
      </c>
      <c r="C188" t="s">
        <v>786</v>
      </c>
      <c r="D188" t="s">
        <v>785</v>
      </c>
      <c r="E188" s="7">
        <v>119.99</v>
      </c>
      <c r="F188" s="7" t="s">
        <v>128</v>
      </c>
      <c r="G188" s="8" t="s">
        <v>527</v>
      </c>
      <c r="H188">
        <v>0</v>
      </c>
      <c r="I188" s="8">
        <v>515</v>
      </c>
      <c r="J188" s="9">
        <v>7.62879328784696e-5</v>
      </c>
      <c r="K188">
        <v>0</v>
      </c>
      <c r="L188">
        <v>515</v>
      </c>
      <c r="M188" s="10">
        <v>0</v>
      </c>
      <c r="N188" s="10">
        <v>1</v>
      </c>
      <c r="O188" s="9">
        <v>0.0031778459</v>
      </c>
      <c r="P188" s="9">
        <v>0</v>
      </c>
      <c r="Q188" s="9">
        <v>0.0031778459</v>
      </c>
      <c r="R188" t="s">
        <v>606</v>
      </c>
      <c r="S188" s="8" t="s">
        <v>97</v>
      </c>
      <c r="T188" t="s">
        <v>97</v>
      </c>
      <c r="U188" t="s">
        <v>97</v>
      </c>
      <c r="V188" s="8">
        <v>4</v>
      </c>
      <c r="W188" t="s">
        <v>40</v>
      </c>
      <c r="X188" t="s">
        <v>787</v>
      </c>
      <c r="Y188" s="8">
        <v>98</v>
      </c>
      <c r="Z188" s="8">
        <v>49</v>
      </c>
      <c r="AA188" s="8">
        <v>49</v>
      </c>
    </row>
    <row r="189" ht="36" customHeight="1" spans="1:27">
      <c r="A189" t="s">
        <v>788</v>
      </c>
      <c r="B189" t="str">
        <f>_xlfn.DISPIMG("ID_14918147AEDA46E0B9B5158AF0BCF882",1)</f>
        <v>=DISPIMG("ID_14918147AEDA46E0B9B5158AF0BCF882",1)</v>
      </c>
      <c r="C189" t="s">
        <v>789</v>
      </c>
      <c r="D189" t="s">
        <v>788</v>
      </c>
      <c r="E189" s="7">
        <v>66.98</v>
      </c>
      <c r="F189" s="7" t="s">
        <v>459</v>
      </c>
      <c r="G189" s="8" t="s">
        <v>459</v>
      </c>
      <c r="H189">
        <v>0</v>
      </c>
      <c r="I189" s="8">
        <v>515</v>
      </c>
      <c r="J189" s="9">
        <v>7.62879328784696e-5</v>
      </c>
      <c r="K189">
        <v>515</v>
      </c>
      <c r="L189">
        <v>0</v>
      </c>
      <c r="M189" s="10">
        <v>1</v>
      </c>
      <c r="N189" s="10">
        <v>0</v>
      </c>
      <c r="O189" s="9">
        <v>0.0031778459</v>
      </c>
      <c r="P189" s="9">
        <v>0.0031778459</v>
      </c>
      <c r="Q189" s="9">
        <v>0</v>
      </c>
      <c r="R189" t="s">
        <v>95</v>
      </c>
      <c r="S189" s="8">
        <v>13</v>
      </c>
      <c r="T189" t="s">
        <v>211</v>
      </c>
      <c r="U189" t="s">
        <v>735</v>
      </c>
      <c r="V189" s="8" t="s">
        <v>97</v>
      </c>
      <c r="W189" t="s">
        <v>97</v>
      </c>
      <c r="X189" t="s">
        <v>97</v>
      </c>
      <c r="Y189" s="8">
        <v>44</v>
      </c>
      <c r="Z189" s="8">
        <v>44</v>
      </c>
      <c r="AA189" s="8">
        <v>0</v>
      </c>
    </row>
    <row r="190" ht="36" customHeight="1" spans="1:27">
      <c r="A190" t="s">
        <v>790</v>
      </c>
      <c r="B190" t="str">
        <f>_xlfn.DISPIMG("ID_70A4BD0D8F724621A05B1DB3B7E54CCC",1)</f>
        <v>=DISPIMG("ID_70A4BD0D8F724621A05B1DB3B7E54CCC",1)</v>
      </c>
      <c r="C190" t="s">
        <v>791</v>
      </c>
      <c r="D190" t="s">
        <v>790</v>
      </c>
      <c r="E190" s="7">
        <v>139.99</v>
      </c>
      <c r="F190" s="7" t="s">
        <v>459</v>
      </c>
      <c r="G190" s="8" t="s">
        <v>459</v>
      </c>
      <c r="H190">
        <v>0</v>
      </c>
      <c r="I190" s="8">
        <v>499</v>
      </c>
      <c r="J190" s="9">
        <v>7.39178223424395e-5</v>
      </c>
      <c r="K190">
        <v>499</v>
      </c>
      <c r="L190">
        <v>0</v>
      </c>
      <c r="M190" s="10">
        <v>1</v>
      </c>
      <c r="N190" s="10">
        <v>0</v>
      </c>
      <c r="O190" s="9">
        <v>0.0030842084</v>
      </c>
      <c r="P190" s="9">
        <v>0.0030842084</v>
      </c>
      <c r="Q190" s="9">
        <v>0</v>
      </c>
      <c r="R190" t="s">
        <v>95</v>
      </c>
      <c r="S190" s="8">
        <v>14</v>
      </c>
      <c r="T190" t="s">
        <v>146</v>
      </c>
      <c r="U190" t="s">
        <v>735</v>
      </c>
      <c r="V190" s="8" t="s">
        <v>97</v>
      </c>
      <c r="W190" t="s">
        <v>97</v>
      </c>
      <c r="X190" t="s">
        <v>97</v>
      </c>
      <c r="Y190" s="8">
        <v>45</v>
      </c>
      <c r="Z190" s="8">
        <v>45</v>
      </c>
      <c r="AA190" s="8">
        <v>0</v>
      </c>
    </row>
    <row r="191" ht="36" customHeight="1" spans="1:27">
      <c r="A191" t="s">
        <v>792</v>
      </c>
      <c r="B191" t="str">
        <f>_xlfn.DISPIMG("ID_9A0FEDFCC975479CB4F92D57A93B948B",1)</f>
        <v>=DISPIMG("ID_9A0FEDFCC975479CB4F92D57A93B948B",1)</v>
      </c>
      <c r="C191" t="s">
        <v>793</v>
      </c>
      <c r="D191" t="s">
        <v>792</v>
      </c>
      <c r="E191" s="7">
        <v>799.99</v>
      </c>
      <c r="F191" s="7" t="s">
        <v>115</v>
      </c>
      <c r="G191" s="8" t="s">
        <v>317</v>
      </c>
      <c r="H191">
        <v>0</v>
      </c>
      <c r="I191" s="8">
        <v>486</v>
      </c>
      <c r="J191" s="9">
        <v>7.1992107531915e-5</v>
      </c>
      <c r="K191">
        <v>486</v>
      </c>
      <c r="L191">
        <v>0</v>
      </c>
      <c r="M191" s="10">
        <v>1</v>
      </c>
      <c r="N191" s="10">
        <v>0</v>
      </c>
      <c r="O191" s="9">
        <v>0.0030015737</v>
      </c>
      <c r="P191" s="9">
        <v>0.0030015737</v>
      </c>
      <c r="Q191" s="9">
        <v>0</v>
      </c>
      <c r="R191" t="s">
        <v>95</v>
      </c>
      <c r="S191" s="8">
        <v>15</v>
      </c>
      <c r="T191" t="s">
        <v>613</v>
      </c>
      <c r="U191" t="s">
        <v>735</v>
      </c>
      <c r="V191" s="8" t="s">
        <v>97</v>
      </c>
      <c r="W191" t="s">
        <v>97</v>
      </c>
      <c r="X191" t="s">
        <v>97</v>
      </c>
      <c r="Y191" s="8">
        <v>464</v>
      </c>
      <c r="Z191" s="8">
        <v>464</v>
      </c>
      <c r="AA191" s="8">
        <v>0</v>
      </c>
    </row>
    <row r="192" ht="36" customHeight="1" spans="1:27">
      <c r="A192" t="s">
        <v>794</v>
      </c>
      <c r="B192" t="str">
        <f>_xlfn.DISPIMG("ID_18006C4B2C244145BA9D014E6DEA9E32",1)</f>
        <v>=DISPIMG("ID_18006C4B2C244145BA9D014E6DEA9E32",1)</v>
      </c>
      <c r="C192" t="s">
        <v>795</v>
      </c>
      <c r="D192" t="s">
        <v>794</v>
      </c>
      <c r="E192" s="7">
        <v>359</v>
      </c>
      <c r="F192" s="7" t="s">
        <v>459</v>
      </c>
      <c r="G192" s="8" t="s">
        <v>459</v>
      </c>
      <c r="H192">
        <v>0</v>
      </c>
      <c r="I192" s="8">
        <v>474</v>
      </c>
      <c r="J192" s="9">
        <v>7.02145246298924e-5</v>
      </c>
      <c r="K192">
        <v>474</v>
      </c>
      <c r="L192">
        <v>0</v>
      </c>
      <c r="M192" s="10">
        <v>1</v>
      </c>
      <c r="N192" s="10">
        <v>0</v>
      </c>
      <c r="O192" s="9">
        <v>0.0029286486</v>
      </c>
      <c r="P192" s="9">
        <v>0.0029286486</v>
      </c>
      <c r="Q192" s="9">
        <v>0</v>
      </c>
      <c r="R192" t="s">
        <v>95</v>
      </c>
      <c r="S192" s="8">
        <v>16</v>
      </c>
      <c r="T192" t="s">
        <v>110</v>
      </c>
      <c r="U192" t="s">
        <v>735</v>
      </c>
      <c r="V192" s="8" t="s">
        <v>97</v>
      </c>
      <c r="W192" t="s">
        <v>97</v>
      </c>
      <c r="X192" t="s">
        <v>97</v>
      </c>
      <c r="Y192" s="8">
        <v>56</v>
      </c>
      <c r="Z192" s="8">
        <v>56</v>
      </c>
      <c r="AA192" s="8">
        <v>0</v>
      </c>
    </row>
    <row r="193" ht="36" customHeight="1" spans="1:27">
      <c r="A193" t="s">
        <v>796</v>
      </c>
      <c r="B193" t="str">
        <f>_xlfn.DISPIMG("ID_7C8A9E01644B4082BF358D48520AC8D5",1)</f>
        <v>=DISPIMG("ID_7C8A9E01644B4082BF358D48520AC8D5",1)</v>
      </c>
      <c r="C193" t="s">
        <v>797</v>
      </c>
      <c r="D193" t="s">
        <v>796</v>
      </c>
      <c r="E193" s="7">
        <v>79.99</v>
      </c>
      <c r="F193" s="7" t="s">
        <v>459</v>
      </c>
      <c r="G193" s="8" t="s">
        <v>459</v>
      </c>
      <c r="H193">
        <v>0</v>
      </c>
      <c r="I193" s="8">
        <v>455</v>
      </c>
      <c r="J193" s="9">
        <v>6.74000183683567e-5</v>
      </c>
      <c r="K193">
        <v>455</v>
      </c>
      <c r="L193">
        <v>0</v>
      </c>
      <c r="M193" s="10">
        <v>1</v>
      </c>
      <c r="N193" s="10">
        <v>0</v>
      </c>
      <c r="O193" s="9">
        <v>0.0028074987</v>
      </c>
      <c r="P193" s="9">
        <v>0.0028074987</v>
      </c>
      <c r="Q193" s="9">
        <v>0</v>
      </c>
      <c r="R193" t="s">
        <v>95</v>
      </c>
      <c r="S193" s="8">
        <v>18</v>
      </c>
      <c r="T193" t="s">
        <v>68</v>
      </c>
      <c r="U193" t="s">
        <v>735</v>
      </c>
      <c r="V193" s="8" t="s">
        <v>97</v>
      </c>
      <c r="W193" t="s">
        <v>97</v>
      </c>
      <c r="X193" t="s">
        <v>97</v>
      </c>
      <c r="Y193" s="8">
        <v>32</v>
      </c>
      <c r="Z193" s="8">
        <v>32</v>
      </c>
      <c r="AA193" s="8">
        <v>0</v>
      </c>
    </row>
    <row r="194" ht="36" customHeight="1" spans="1:27">
      <c r="A194" t="s">
        <v>798</v>
      </c>
      <c r="B194" t="str">
        <f>_xlfn.DISPIMG("ID_FEE2B57789BF4C51ABA72D5424135FD3",1)</f>
        <v>=DISPIMG("ID_FEE2B57789BF4C51ABA72D5424135FD3",1)</v>
      </c>
      <c r="C194" t="s">
        <v>799</v>
      </c>
      <c r="D194" t="s">
        <v>798</v>
      </c>
      <c r="E194" s="7">
        <v>89.99</v>
      </c>
      <c r="F194" s="7" t="s">
        <v>459</v>
      </c>
      <c r="G194" s="8" t="s">
        <v>459</v>
      </c>
      <c r="H194">
        <v>0</v>
      </c>
      <c r="I194" s="8">
        <v>447</v>
      </c>
      <c r="J194" s="9">
        <v>6.62149631003416e-5</v>
      </c>
      <c r="K194">
        <v>447</v>
      </c>
      <c r="L194">
        <v>0</v>
      </c>
      <c r="M194" s="10">
        <v>1</v>
      </c>
      <c r="N194" s="10">
        <v>0</v>
      </c>
      <c r="O194" s="9">
        <v>0.0027573782</v>
      </c>
      <c r="P194" s="9">
        <v>0.0027573782</v>
      </c>
      <c r="Q194" s="9">
        <v>0</v>
      </c>
      <c r="R194" t="s">
        <v>95</v>
      </c>
      <c r="S194" s="8">
        <v>19</v>
      </c>
      <c r="T194" t="s">
        <v>123</v>
      </c>
      <c r="U194" t="s">
        <v>735</v>
      </c>
      <c r="V194" s="8" t="s">
        <v>97</v>
      </c>
      <c r="W194" t="s">
        <v>97</v>
      </c>
      <c r="X194" t="s">
        <v>97</v>
      </c>
      <c r="Y194" s="8">
        <v>34</v>
      </c>
      <c r="Z194" s="8">
        <v>34</v>
      </c>
      <c r="AA194" s="8">
        <v>0</v>
      </c>
    </row>
    <row r="195" ht="36" customHeight="1" spans="1:27">
      <c r="A195" t="s">
        <v>800</v>
      </c>
      <c r="B195" t="str">
        <f>_xlfn.DISPIMG("ID_7E9D194A541B492A8B0F954618619A92",1)</f>
        <v>=DISPIMG("ID_7E9D194A541B492A8B0F954618619A92",1)</v>
      </c>
      <c r="C195" t="s">
        <v>801</v>
      </c>
      <c r="D195" t="s">
        <v>800</v>
      </c>
      <c r="E195" s="7">
        <v>219.59</v>
      </c>
      <c r="F195" s="7" t="s">
        <v>459</v>
      </c>
      <c r="G195" s="8" t="s">
        <v>459</v>
      </c>
      <c r="H195">
        <v>0</v>
      </c>
      <c r="I195" s="8">
        <v>439</v>
      </c>
      <c r="J195" s="9">
        <v>6.50299078323265e-5</v>
      </c>
      <c r="K195">
        <v>439</v>
      </c>
      <c r="L195">
        <v>0</v>
      </c>
      <c r="M195" s="10">
        <v>1</v>
      </c>
      <c r="N195" s="10">
        <v>0</v>
      </c>
      <c r="O195" s="9">
        <v>0.002713147</v>
      </c>
      <c r="P195" s="9">
        <v>0.002713147</v>
      </c>
      <c r="Q195" s="9">
        <v>0</v>
      </c>
      <c r="R195" t="s">
        <v>95</v>
      </c>
      <c r="S195" s="8">
        <v>20</v>
      </c>
      <c r="T195" t="s">
        <v>96</v>
      </c>
      <c r="U195" t="s">
        <v>735</v>
      </c>
      <c r="V195" s="8" t="s">
        <v>97</v>
      </c>
      <c r="W195" t="s">
        <v>97</v>
      </c>
      <c r="X195" t="s">
        <v>97</v>
      </c>
      <c r="Y195" s="8">
        <v>92</v>
      </c>
      <c r="Z195" s="8">
        <v>92</v>
      </c>
      <c r="AA195" s="8">
        <v>0</v>
      </c>
    </row>
    <row r="196" ht="36" customHeight="1" spans="1:27">
      <c r="A196" t="s">
        <v>802</v>
      </c>
      <c r="B196" t="str">
        <f>_xlfn.DISPIMG("ID_1DFE713CBEEE4530AE3CFA5B788DB364",1)</f>
        <v>=DISPIMG("ID_1DFE713CBEEE4530AE3CFA5B788DB364",1)</v>
      </c>
      <c r="C196" t="s">
        <v>803</v>
      </c>
      <c r="D196" t="s">
        <v>802</v>
      </c>
      <c r="E196" s="7">
        <v>79.99</v>
      </c>
      <c r="F196" s="7" t="s">
        <v>107</v>
      </c>
      <c r="G196" s="8" t="s">
        <v>804</v>
      </c>
      <c r="H196">
        <v>100</v>
      </c>
      <c r="I196" s="8">
        <v>434</v>
      </c>
      <c r="J196" s="9">
        <v>6.42892482898171e-5</v>
      </c>
      <c r="K196">
        <v>0</v>
      </c>
      <c r="L196">
        <v>434</v>
      </c>
      <c r="M196" s="10">
        <v>0</v>
      </c>
      <c r="N196" s="10">
        <v>1</v>
      </c>
      <c r="O196" s="9">
        <v>0.0026785715</v>
      </c>
      <c r="P196" s="9">
        <v>0</v>
      </c>
      <c r="Q196" s="9">
        <v>0.0026785715</v>
      </c>
      <c r="R196" t="s">
        <v>38</v>
      </c>
      <c r="S196" s="8">
        <v>65</v>
      </c>
      <c r="T196" t="s">
        <v>687</v>
      </c>
      <c r="U196" t="s">
        <v>805</v>
      </c>
      <c r="V196" s="8">
        <v>8</v>
      </c>
      <c r="W196" t="s">
        <v>147</v>
      </c>
      <c r="X196" t="s">
        <v>806</v>
      </c>
      <c r="Y196" s="8">
        <v>317</v>
      </c>
      <c r="Z196" s="8">
        <v>273</v>
      </c>
      <c r="AA196" s="8">
        <v>44</v>
      </c>
    </row>
    <row r="197" ht="36" customHeight="1" spans="1:27">
      <c r="A197" t="s">
        <v>807</v>
      </c>
      <c r="B197" t="str">
        <f>_xlfn.DISPIMG("ID_36286FB023B644DCA107F0CA843867AF",1)</f>
        <v>=DISPIMG("ID_36286FB023B644DCA107F0CA843867AF",1)</v>
      </c>
      <c r="C197" t="s">
        <v>797</v>
      </c>
      <c r="D197" t="s">
        <v>807</v>
      </c>
      <c r="E197" s="7">
        <v>79.99</v>
      </c>
      <c r="F197" s="7" t="s">
        <v>459</v>
      </c>
      <c r="G197" s="8" t="s">
        <v>459</v>
      </c>
      <c r="H197">
        <v>0</v>
      </c>
      <c r="I197" s="8">
        <v>433</v>
      </c>
      <c r="J197" s="9">
        <v>6.41411163813152e-5</v>
      </c>
      <c r="K197">
        <v>433</v>
      </c>
      <c r="L197">
        <v>0</v>
      </c>
      <c r="M197" s="10">
        <v>1</v>
      </c>
      <c r="N197" s="10">
        <v>0</v>
      </c>
      <c r="O197" s="9">
        <v>0.0026741133</v>
      </c>
      <c r="P197" s="9">
        <v>0.0026741133</v>
      </c>
      <c r="Q197" s="9">
        <v>0</v>
      </c>
      <c r="R197" t="s">
        <v>95</v>
      </c>
      <c r="S197" s="8">
        <v>21</v>
      </c>
      <c r="T197" t="s">
        <v>325</v>
      </c>
      <c r="U197" t="s">
        <v>735</v>
      </c>
      <c r="V197" s="8" t="s">
        <v>97</v>
      </c>
      <c r="W197" t="s">
        <v>97</v>
      </c>
      <c r="X197" t="s">
        <v>97</v>
      </c>
      <c r="Y197" s="8">
        <v>40</v>
      </c>
      <c r="Z197" s="8">
        <v>40</v>
      </c>
      <c r="AA197" s="8">
        <v>0</v>
      </c>
    </row>
    <row r="198" ht="36" customHeight="1" spans="1:27">
      <c r="A198" t="s">
        <v>808</v>
      </c>
      <c r="B198" t="str">
        <f>_xlfn.DISPIMG("ID_F0B0D93FDFA240AF926BC55D3AE14AB3",1)</f>
        <v>=DISPIMG("ID_F0B0D93FDFA240AF926BC55D3AE14AB3",1)</v>
      </c>
      <c r="C198" t="s">
        <v>809</v>
      </c>
      <c r="D198" t="s">
        <v>808</v>
      </c>
      <c r="E198" s="7">
        <v>139.99</v>
      </c>
      <c r="F198" s="7" t="s">
        <v>459</v>
      </c>
      <c r="G198" s="8" t="s">
        <v>459</v>
      </c>
      <c r="H198">
        <v>0</v>
      </c>
      <c r="I198" s="8">
        <v>408</v>
      </c>
      <c r="J198" s="9">
        <v>6.04378186687682e-5</v>
      </c>
      <c r="K198">
        <v>408</v>
      </c>
      <c r="L198">
        <v>0</v>
      </c>
      <c r="M198" s="10">
        <v>1</v>
      </c>
      <c r="N198" s="10">
        <v>0</v>
      </c>
      <c r="O198" s="9">
        <v>0.0025194318</v>
      </c>
      <c r="P198" s="9">
        <v>0.0025194318</v>
      </c>
      <c r="Q198" s="9">
        <v>0</v>
      </c>
      <c r="R198" t="s">
        <v>95</v>
      </c>
      <c r="S198" s="8">
        <v>27</v>
      </c>
      <c r="T198" t="s">
        <v>474</v>
      </c>
      <c r="U198" t="s">
        <v>735</v>
      </c>
      <c r="V198" s="8" t="s">
        <v>97</v>
      </c>
      <c r="W198" t="s">
        <v>97</v>
      </c>
      <c r="X198" t="s">
        <v>97</v>
      </c>
      <c r="Y198" s="8">
        <v>46</v>
      </c>
      <c r="Z198" s="8">
        <v>46</v>
      </c>
      <c r="AA198" s="8">
        <v>0</v>
      </c>
    </row>
    <row r="199" ht="36" customHeight="1" spans="1:27">
      <c r="A199" t="s">
        <v>810</v>
      </c>
      <c r="B199" t="str">
        <f>_xlfn.DISPIMG("ID_A9312ECD69F84E388B548E8F89D87897",1)</f>
        <v>=DISPIMG("ID_A9312ECD69F84E388B548E8F89D87897",1)</v>
      </c>
      <c r="C199" t="s">
        <v>811</v>
      </c>
      <c r="D199" t="s">
        <v>810</v>
      </c>
      <c r="E199" s="7">
        <v>418</v>
      </c>
      <c r="F199" s="7" t="s">
        <v>459</v>
      </c>
      <c r="G199" s="8" t="s">
        <v>459</v>
      </c>
      <c r="H199">
        <v>0</v>
      </c>
      <c r="I199" s="8">
        <v>405</v>
      </c>
      <c r="J199" s="9">
        <v>5.99934229432625e-5</v>
      </c>
      <c r="K199">
        <v>405</v>
      </c>
      <c r="L199">
        <v>0</v>
      </c>
      <c r="M199" s="10">
        <v>1</v>
      </c>
      <c r="N199" s="10">
        <v>0</v>
      </c>
      <c r="O199" s="9">
        <v>0.00250316</v>
      </c>
      <c r="P199" s="9">
        <v>0.00250316</v>
      </c>
      <c r="Q199" s="9">
        <v>0</v>
      </c>
      <c r="R199" t="s">
        <v>95</v>
      </c>
      <c r="S199" s="8">
        <v>28</v>
      </c>
      <c r="T199" t="s">
        <v>812</v>
      </c>
      <c r="U199" t="s">
        <v>735</v>
      </c>
      <c r="V199" s="8" t="s">
        <v>97</v>
      </c>
      <c r="W199" t="s">
        <v>97</v>
      </c>
      <c r="X199" t="s">
        <v>97</v>
      </c>
      <c r="Y199" s="8">
        <v>82</v>
      </c>
      <c r="Z199" s="8">
        <v>67</v>
      </c>
      <c r="AA199" s="8">
        <v>15</v>
      </c>
    </row>
    <row r="200" ht="36" customHeight="1" spans="1:27">
      <c r="A200" t="s">
        <v>813</v>
      </c>
      <c r="B200" t="str">
        <f>_xlfn.DISPIMG("ID_309BC912FBEA428D907661AF7D115959",1)</f>
        <v>=DISPIMG("ID_309BC912FBEA428D907661AF7D115959",1)</v>
      </c>
      <c r="C200" t="s">
        <v>801</v>
      </c>
      <c r="D200" t="s">
        <v>813</v>
      </c>
      <c r="E200" s="7">
        <v>219.59</v>
      </c>
      <c r="F200" s="7" t="s">
        <v>459</v>
      </c>
      <c r="G200" s="8" t="s">
        <v>459</v>
      </c>
      <c r="H200">
        <v>0</v>
      </c>
      <c r="I200" s="8">
        <v>401</v>
      </c>
      <c r="J200" s="9">
        <v>5.9400895309255e-5</v>
      </c>
      <c r="K200">
        <v>401</v>
      </c>
      <c r="L200">
        <v>0</v>
      </c>
      <c r="M200" s="10">
        <v>1</v>
      </c>
      <c r="N200" s="10">
        <v>0</v>
      </c>
      <c r="O200" s="9">
        <v>0.0024761278</v>
      </c>
      <c r="P200" s="9">
        <v>0.0024761278</v>
      </c>
      <c r="Q200" s="9">
        <v>0</v>
      </c>
      <c r="R200" t="s">
        <v>95</v>
      </c>
      <c r="S200" s="8">
        <v>30</v>
      </c>
      <c r="T200" t="s">
        <v>236</v>
      </c>
      <c r="U200" t="s">
        <v>735</v>
      </c>
      <c r="V200" s="8" t="s">
        <v>97</v>
      </c>
      <c r="W200" t="s">
        <v>97</v>
      </c>
      <c r="X200" t="s">
        <v>97</v>
      </c>
      <c r="Y200" s="8">
        <v>84</v>
      </c>
      <c r="Z200" s="8">
        <v>84</v>
      </c>
      <c r="AA200" s="8">
        <v>0</v>
      </c>
    </row>
    <row r="201" ht="36" customHeight="1" spans="1:27">
      <c r="A201" t="s">
        <v>814</v>
      </c>
      <c r="B201" t="str">
        <f>_xlfn.DISPIMG("ID_112F2D271661474FA1D91F67DF79E6CC",1)</f>
        <v>=DISPIMG("ID_112F2D271661474FA1D91F67DF79E6CC",1)</v>
      </c>
      <c r="C201" t="s">
        <v>815</v>
      </c>
      <c r="D201" t="s">
        <v>814</v>
      </c>
      <c r="E201" s="7">
        <v>69.99</v>
      </c>
      <c r="F201" s="7" t="s">
        <v>214</v>
      </c>
      <c r="G201" s="8" t="s">
        <v>816</v>
      </c>
      <c r="H201">
        <v>0</v>
      </c>
      <c r="I201" s="8">
        <v>399</v>
      </c>
      <c r="J201" s="9">
        <v>5.91046314922512e-5</v>
      </c>
      <c r="K201">
        <v>399</v>
      </c>
      <c r="L201">
        <v>0</v>
      </c>
      <c r="M201" s="10">
        <v>1</v>
      </c>
      <c r="N201" s="10">
        <v>0</v>
      </c>
      <c r="O201" s="9">
        <v>0.0024649443</v>
      </c>
      <c r="P201" s="9">
        <v>0.0024649443</v>
      </c>
      <c r="Q201" s="9">
        <v>0</v>
      </c>
      <c r="R201" t="s">
        <v>95</v>
      </c>
      <c r="S201" s="8">
        <v>31</v>
      </c>
      <c r="T201" t="s">
        <v>292</v>
      </c>
      <c r="U201" t="s">
        <v>735</v>
      </c>
      <c r="V201" s="8" t="s">
        <v>97</v>
      </c>
      <c r="W201" t="s">
        <v>97</v>
      </c>
      <c r="X201" t="s">
        <v>97</v>
      </c>
      <c r="Y201" s="8">
        <v>80</v>
      </c>
      <c r="Z201" s="8">
        <v>80</v>
      </c>
      <c r="AA201" s="8">
        <v>0</v>
      </c>
    </row>
    <row r="202" ht="36" customHeight="1" spans="1:27">
      <c r="A202" t="s">
        <v>817</v>
      </c>
      <c r="B202" t="str">
        <f>_xlfn.DISPIMG("ID_57154BA12CDB42BAA69E1268D433AC79",1)</f>
        <v>=DISPIMG("ID_57154BA12CDB42BAA69E1268D433AC79",1)</v>
      </c>
      <c r="C202" t="s">
        <v>801</v>
      </c>
      <c r="D202" t="s">
        <v>817</v>
      </c>
      <c r="E202" s="7">
        <v>219.59</v>
      </c>
      <c r="F202" s="7" t="s">
        <v>459</v>
      </c>
      <c r="G202" s="8" t="s">
        <v>459</v>
      </c>
      <c r="H202">
        <v>0</v>
      </c>
      <c r="I202" s="8">
        <v>394</v>
      </c>
      <c r="J202" s="9">
        <v>5.83639719497418e-5</v>
      </c>
      <c r="K202">
        <v>394</v>
      </c>
      <c r="L202">
        <v>0</v>
      </c>
      <c r="M202" s="10">
        <v>1</v>
      </c>
      <c r="N202" s="10">
        <v>0</v>
      </c>
      <c r="O202" s="9">
        <v>0.002431896</v>
      </c>
      <c r="P202" s="9">
        <v>0.002431896</v>
      </c>
      <c r="Q202" s="9">
        <v>0</v>
      </c>
      <c r="R202" t="s">
        <v>95</v>
      </c>
      <c r="S202" s="8">
        <v>35</v>
      </c>
      <c r="T202" t="s">
        <v>183</v>
      </c>
      <c r="U202" t="s">
        <v>735</v>
      </c>
      <c r="V202" s="8" t="s">
        <v>97</v>
      </c>
      <c r="W202" t="s">
        <v>97</v>
      </c>
      <c r="X202" t="s">
        <v>97</v>
      </c>
      <c r="Y202" s="8">
        <v>82</v>
      </c>
      <c r="Z202" s="8">
        <v>82</v>
      </c>
      <c r="AA202" s="8">
        <v>0</v>
      </c>
    </row>
    <row r="203" ht="36" customHeight="1" spans="1:27">
      <c r="A203" t="s">
        <v>818</v>
      </c>
      <c r="B203" t="str">
        <f>_xlfn.DISPIMG("ID_EF595B352A02485D96A2A49FCDC05ADA",1)</f>
        <v>=DISPIMG("ID_EF595B352A02485D96A2A49FCDC05ADA",1)</v>
      </c>
      <c r="C203" t="s">
        <v>819</v>
      </c>
      <c r="D203" t="s">
        <v>818</v>
      </c>
      <c r="E203" s="7">
        <v>109.99</v>
      </c>
      <c r="F203" s="7" t="s">
        <v>115</v>
      </c>
      <c r="G203" s="8" t="s">
        <v>616</v>
      </c>
      <c r="H203">
        <v>0</v>
      </c>
      <c r="I203" s="8">
        <v>388</v>
      </c>
      <c r="J203" s="9">
        <v>5.74751804987305e-5</v>
      </c>
      <c r="K203">
        <v>0</v>
      </c>
      <c r="L203">
        <v>388</v>
      </c>
      <c r="M203" s="10">
        <v>0</v>
      </c>
      <c r="N203" s="10">
        <v>1</v>
      </c>
      <c r="O203" s="9">
        <v>0.002395548</v>
      </c>
      <c r="P203" s="9">
        <v>0</v>
      </c>
      <c r="Q203" s="9">
        <v>0.002395548</v>
      </c>
      <c r="R203" t="s">
        <v>606</v>
      </c>
      <c r="S203" s="8" t="s">
        <v>97</v>
      </c>
      <c r="T203" t="s">
        <v>97</v>
      </c>
      <c r="U203" t="s">
        <v>97</v>
      </c>
      <c r="V203" s="8">
        <v>12</v>
      </c>
      <c r="W203" t="s">
        <v>76</v>
      </c>
      <c r="X203" t="s">
        <v>400</v>
      </c>
      <c r="Y203" s="8">
        <v>184</v>
      </c>
      <c r="Z203" s="8">
        <v>109</v>
      </c>
      <c r="AA203" s="8">
        <v>75</v>
      </c>
    </row>
    <row r="204" ht="36" customHeight="1" spans="1:27">
      <c r="A204" t="s">
        <v>820</v>
      </c>
      <c r="B204" t="str">
        <f>_xlfn.DISPIMG("ID_B33E5B06C7C448F7964F2A5AEE7D7483",1)</f>
        <v>=DISPIMG("ID_B33E5B06C7C448F7964F2A5AEE7D7483",1)</v>
      </c>
      <c r="C204" t="s">
        <v>821</v>
      </c>
      <c r="D204" t="s">
        <v>820</v>
      </c>
      <c r="E204" s="7">
        <v>65.99</v>
      </c>
      <c r="F204" s="7" t="s">
        <v>191</v>
      </c>
      <c r="G204" s="8" t="s">
        <v>822</v>
      </c>
      <c r="H204">
        <v>0</v>
      </c>
      <c r="I204" s="8">
        <v>310</v>
      </c>
      <c r="J204" s="9">
        <v>4.59208916355837e-5</v>
      </c>
      <c r="K204">
        <v>0</v>
      </c>
      <c r="L204">
        <v>310</v>
      </c>
      <c r="M204" s="10">
        <v>0</v>
      </c>
      <c r="N204" s="10">
        <v>1</v>
      </c>
      <c r="O204" s="9">
        <v>0.0019107221</v>
      </c>
      <c r="P204" s="9">
        <v>0</v>
      </c>
      <c r="Q204" s="9">
        <v>0.0019107221</v>
      </c>
      <c r="R204" t="s">
        <v>606</v>
      </c>
      <c r="S204" s="8" t="s">
        <v>97</v>
      </c>
      <c r="T204" t="s">
        <v>97</v>
      </c>
      <c r="U204" t="s">
        <v>97</v>
      </c>
      <c r="V204" s="8">
        <v>22</v>
      </c>
      <c r="W204" t="s">
        <v>346</v>
      </c>
      <c r="X204" t="s">
        <v>264</v>
      </c>
      <c r="Y204" s="8">
        <v>63</v>
      </c>
      <c r="Z204" s="8">
        <v>7</v>
      </c>
      <c r="AA204" s="8">
        <v>56</v>
      </c>
    </row>
    <row r="205" ht="36" customHeight="1" spans="1:27">
      <c r="A205" t="s">
        <v>823</v>
      </c>
      <c r="B205" t="str">
        <f>_xlfn.DISPIMG("ID_F560855181FF4864A67679A5B0E67495",1)</f>
        <v>=DISPIMG("ID_F560855181FF4864A67679A5B0E67495",1)</v>
      </c>
      <c r="C205" t="s">
        <v>824</v>
      </c>
      <c r="D205" t="s">
        <v>823</v>
      </c>
      <c r="E205" s="7">
        <v>79.99</v>
      </c>
      <c r="F205" s="7" t="s">
        <v>115</v>
      </c>
      <c r="G205" s="8" t="s">
        <v>684</v>
      </c>
      <c r="H205">
        <v>0</v>
      </c>
      <c r="I205" s="8">
        <v>227</v>
      </c>
      <c r="J205" s="9">
        <v>3.36259432299274e-5</v>
      </c>
      <c r="K205">
        <v>227</v>
      </c>
      <c r="L205">
        <v>0</v>
      </c>
      <c r="M205" s="10">
        <v>1</v>
      </c>
      <c r="N205" s="10">
        <v>0</v>
      </c>
      <c r="O205" s="9">
        <v>0.0014327491</v>
      </c>
      <c r="P205" s="9">
        <v>0.0014327491</v>
      </c>
      <c r="Q205" s="9">
        <v>0</v>
      </c>
      <c r="R205" t="s">
        <v>95</v>
      </c>
      <c r="S205" s="8">
        <v>142</v>
      </c>
      <c r="T205" t="s">
        <v>427</v>
      </c>
      <c r="U205" t="s">
        <v>84</v>
      </c>
      <c r="V205" s="8" t="s">
        <v>97</v>
      </c>
      <c r="W205" t="s">
        <v>97</v>
      </c>
      <c r="X205" t="s">
        <v>97</v>
      </c>
      <c r="Y205" s="8">
        <v>411</v>
      </c>
      <c r="Z205" s="8">
        <v>411</v>
      </c>
      <c r="AA205" s="8">
        <v>0</v>
      </c>
    </row>
    <row r="206" ht="36" customHeight="1" spans="1:27">
      <c r="A206" t="s">
        <v>825</v>
      </c>
      <c r="B206" t="str">
        <f>_xlfn.DISPIMG("ID_BBD75326FA124C97917DA9D279675EE2",1)</f>
        <v>=DISPIMG("ID_BBD75326FA124C97917DA9D279675EE2",1)</v>
      </c>
      <c r="C206" t="s">
        <v>826</v>
      </c>
      <c r="D206" t="s">
        <v>825</v>
      </c>
      <c r="E206" s="7">
        <v>119.99</v>
      </c>
      <c r="F206" s="7" t="s">
        <v>195</v>
      </c>
      <c r="G206" s="8" t="s">
        <v>367</v>
      </c>
      <c r="H206">
        <v>0</v>
      </c>
      <c r="I206" s="8">
        <v>199</v>
      </c>
      <c r="J206" s="9">
        <v>2.94782497918747e-5</v>
      </c>
      <c r="K206">
        <v>0</v>
      </c>
      <c r="L206">
        <v>199</v>
      </c>
      <c r="M206" s="10">
        <v>0</v>
      </c>
      <c r="N206" s="10">
        <v>1</v>
      </c>
      <c r="O206" s="9">
        <v>0.001224122</v>
      </c>
      <c r="P206" s="9">
        <v>0</v>
      </c>
      <c r="Q206" s="9">
        <v>0.001224122</v>
      </c>
      <c r="R206" t="s">
        <v>38</v>
      </c>
      <c r="S206" s="8">
        <v>116</v>
      </c>
      <c r="T206" t="s">
        <v>483</v>
      </c>
      <c r="U206" t="s">
        <v>827</v>
      </c>
      <c r="V206" s="8">
        <v>19</v>
      </c>
      <c r="W206" t="s">
        <v>595</v>
      </c>
      <c r="X206" t="s">
        <v>828</v>
      </c>
      <c r="Y206" s="8">
        <v>74</v>
      </c>
      <c r="Z206" s="8">
        <v>11</v>
      </c>
      <c r="AA206" s="8">
        <v>63</v>
      </c>
    </row>
    <row r="207" ht="36" customHeight="1" spans="1:27">
      <c r="A207" t="s">
        <v>829</v>
      </c>
      <c r="B207" t="str">
        <f>_xlfn.DISPIMG("ID_38AFC28EE08F4B8B864086E4EB270123",1)</f>
        <v>=DISPIMG("ID_38AFC28EE08F4B8B864086E4EB270123",1)</v>
      </c>
      <c r="C207" t="s">
        <v>830</v>
      </c>
      <c r="D207" t="s">
        <v>829</v>
      </c>
      <c r="E207" s="7">
        <v>599</v>
      </c>
      <c r="F207" s="7" t="s">
        <v>459</v>
      </c>
      <c r="G207" s="8" t="s">
        <v>459</v>
      </c>
      <c r="H207">
        <v>0</v>
      </c>
      <c r="I207" s="8">
        <v>196</v>
      </c>
      <c r="J207" s="9">
        <v>2.9033854066369e-5</v>
      </c>
      <c r="K207">
        <v>0</v>
      </c>
      <c r="L207">
        <v>196</v>
      </c>
      <c r="M207" s="10">
        <v>0</v>
      </c>
      <c r="N207" s="10">
        <v>1</v>
      </c>
      <c r="O207" s="9">
        <v>0.0012053571</v>
      </c>
      <c r="P207" s="9">
        <v>0</v>
      </c>
      <c r="Q207" s="9">
        <v>0.0012053571</v>
      </c>
      <c r="R207" t="s">
        <v>590</v>
      </c>
      <c r="S207" s="8" t="s">
        <v>97</v>
      </c>
      <c r="T207" t="s">
        <v>97</v>
      </c>
      <c r="U207" t="s">
        <v>97</v>
      </c>
      <c r="V207" s="8" t="s">
        <v>97</v>
      </c>
      <c r="W207" t="s">
        <v>97</v>
      </c>
      <c r="X207" t="s">
        <v>97</v>
      </c>
      <c r="Y207" s="8">
        <v>143</v>
      </c>
      <c r="Z207" s="8">
        <v>68</v>
      </c>
      <c r="AA207" s="8">
        <v>75</v>
      </c>
    </row>
    <row r="208" ht="36" customHeight="1" spans="1:27">
      <c r="A208" t="s">
        <v>831</v>
      </c>
      <c r="B208" t="str">
        <f>_xlfn.DISPIMG("ID_05F03DE6150D49A28A42798014C74ECC",1)</f>
        <v>=DISPIMG("ID_05F03DE6150D49A28A42798014C74ECC",1)</v>
      </c>
      <c r="C208" t="s">
        <v>832</v>
      </c>
      <c r="D208" t="s">
        <v>831</v>
      </c>
      <c r="E208" s="7">
        <v>69.99</v>
      </c>
      <c r="F208" s="7" t="s">
        <v>214</v>
      </c>
      <c r="G208" s="8" t="s">
        <v>833</v>
      </c>
      <c r="H208">
        <v>0</v>
      </c>
      <c r="I208" s="8">
        <v>194</v>
      </c>
      <c r="J208" s="9">
        <v>2.87375902493653e-5</v>
      </c>
      <c r="K208">
        <v>0</v>
      </c>
      <c r="L208">
        <v>194</v>
      </c>
      <c r="M208" s="10">
        <v>0</v>
      </c>
      <c r="N208" s="10">
        <v>1</v>
      </c>
      <c r="O208" s="9">
        <v>0.0012053571</v>
      </c>
      <c r="P208" s="9">
        <v>0</v>
      </c>
      <c r="Q208" s="9">
        <v>0.0012053571</v>
      </c>
      <c r="R208" t="s">
        <v>590</v>
      </c>
      <c r="S208" s="8" t="s">
        <v>97</v>
      </c>
      <c r="T208" t="s">
        <v>97</v>
      </c>
      <c r="U208" t="s">
        <v>97</v>
      </c>
      <c r="V208" s="8" t="s">
        <v>97</v>
      </c>
      <c r="W208" t="s">
        <v>97</v>
      </c>
      <c r="X208" t="s">
        <v>97</v>
      </c>
      <c r="Y208" s="8">
        <v>455</v>
      </c>
      <c r="Z208" s="8">
        <v>170</v>
      </c>
      <c r="AA208" s="8">
        <v>285</v>
      </c>
    </row>
    <row r="209" ht="36" customHeight="1" spans="1:27">
      <c r="A209" t="s">
        <v>834</v>
      </c>
      <c r="B209" t="str">
        <f>_xlfn.DISPIMG("ID_D952B7B2251545C09C909477443F2318",1)</f>
        <v>=DISPIMG("ID_D952B7B2251545C09C909477443F2318",1)</v>
      </c>
      <c r="C209" t="s">
        <v>835</v>
      </c>
      <c r="D209" t="s">
        <v>834</v>
      </c>
      <c r="E209" s="7">
        <v>79.89</v>
      </c>
      <c r="F209" s="7" t="s">
        <v>836</v>
      </c>
      <c r="G209" s="8" t="s">
        <v>372</v>
      </c>
      <c r="H209">
        <v>200</v>
      </c>
      <c r="I209" s="8">
        <v>156</v>
      </c>
      <c r="J209" s="9">
        <v>2.31085777262937e-5</v>
      </c>
      <c r="K209">
        <v>156</v>
      </c>
      <c r="L209">
        <v>0</v>
      </c>
      <c r="M209" s="10">
        <v>1</v>
      </c>
      <c r="N209" s="10">
        <v>0</v>
      </c>
      <c r="O209" s="9">
        <v>0.0010772821</v>
      </c>
      <c r="P209" s="9">
        <v>0.0010772821</v>
      </c>
      <c r="Q209" s="9">
        <v>0</v>
      </c>
      <c r="R209" t="s">
        <v>109</v>
      </c>
      <c r="S209" s="8">
        <v>117</v>
      </c>
      <c r="T209" t="s">
        <v>837</v>
      </c>
      <c r="U209" t="s">
        <v>31</v>
      </c>
      <c r="V209" s="8">
        <v>11</v>
      </c>
      <c r="W209" t="s">
        <v>46</v>
      </c>
      <c r="X209" t="s">
        <v>838</v>
      </c>
      <c r="Y209" s="8">
        <v>1627</v>
      </c>
      <c r="Z209" s="8">
        <v>1627</v>
      </c>
      <c r="AA209" s="8">
        <v>0</v>
      </c>
    </row>
    <row r="210" ht="36" customHeight="1" spans="1:27">
      <c r="A210" t="s">
        <v>839</v>
      </c>
      <c r="B210" t="str">
        <f>_xlfn.DISPIMG("ID_7416FCC0A7CA400FB967C93151153FFD",1)</f>
        <v>=DISPIMG("ID_7416FCC0A7CA400FB967C93151153FFD",1)</v>
      </c>
      <c r="C210" t="s">
        <v>840</v>
      </c>
      <c r="D210" t="s">
        <v>839</v>
      </c>
      <c r="E210" s="7">
        <v>93.49</v>
      </c>
      <c r="F210" s="7" t="s">
        <v>27</v>
      </c>
      <c r="G210" s="8" t="s">
        <v>841</v>
      </c>
      <c r="H210">
        <v>3000</v>
      </c>
      <c r="I210" s="8">
        <v>139</v>
      </c>
      <c r="J210" s="9">
        <v>2.05903352817617e-5</v>
      </c>
      <c r="K210">
        <v>0</v>
      </c>
      <c r="L210">
        <v>139</v>
      </c>
      <c r="M210" s="10">
        <v>0</v>
      </c>
      <c r="N210" s="10">
        <v>1</v>
      </c>
      <c r="O210" s="9">
        <v>0.0009562682</v>
      </c>
      <c r="P210" s="9">
        <v>0</v>
      </c>
      <c r="Q210" s="9">
        <v>0.0009562682</v>
      </c>
      <c r="R210" t="s">
        <v>152</v>
      </c>
      <c r="S210" s="8">
        <v>2</v>
      </c>
      <c r="T210" t="s">
        <v>39</v>
      </c>
      <c r="U210" t="s">
        <v>465</v>
      </c>
      <c r="V210" s="8">
        <v>14</v>
      </c>
      <c r="W210" t="s">
        <v>174</v>
      </c>
      <c r="X210" t="s">
        <v>645</v>
      </c>
      <c r="Y210" s="8">
        <v>3130</v>
      </c>
      <c r="Z210" s="8">
        <v>3087</v>
      </c>
      <c r="AA210" s="8">
        <v>43</v>
      </c>
    </row>
    <row r="211" ht="36" customHeight="1" spans="1:27">
      <c r="A211" t="s">
        <v>842</v>
      </c>
      <c r="B211" t="str">
        <f>_xlfn.DISPIMG("ID_A7F945D7A3D14BAF943BF16794430251",1)</f>
        <v>=DISPIMG("ID_A7F945D7A3D14BAF943BF16794430251",1)</v>
      </c>
      <c r="C211" t="s">
        <v>545</v>
      </c>
      <c r="D211" t="s">
        <v>842</v>
      </c>
      <c r="E211" s="7">
        <v>89.99</v>
      </c>
      <c r="F211" s="7" t="s">
        <v>115</v>
      </c>
      <c r="G211" s="8" t="s">
        <v>100</v>
      </c>
      <c r="H211">
        <v>0</v>
      </c>
      <c r="I211" s="8">
        <v>129</v>
      </c>
      <c r="J211" s="9">
        <v>1.91090161967429e-5</v>
      </c>
      <c r="K211">
        <v>0</v>
      </c>
      <c r="L211">
        <v>129</v>
      </c>
      <c r="M211" s="10">
        <v>0</v>
      </c>
      <c r="N211" s="10">
        <v>1</v>
      </c>
      <c r="O211" s="9">
        <v>0.0007939646</v>
      </c>
      <c r="P211" s="9">
        <v>0</v>
      </c>
      <c r="Q211" s="9">
        <v>0.0007939646</v>
      </c>
      <c r="R211" t="s">
        <v>606</v>
      </c>
      <c r="S211" s="8" t="s">
        <v>97</v>
      </c>
      <c r="T211" t="s">
        <v>97</v>
      </c>
      <c r="U211" t="s">
        <v>97</v>
      </c>
      <c r="V211" s="8">
        <v>20</v>
      </c>
      <c r="W211" t="s">
        <v>246</v>
      </c>
      <c r="X211" t="s">
        <v>184</v>
      </c>
      <c r="Y211" s="8">
        <v>21</v>
      </c>
      <c r="Z211" s="8">
        <v>7</v>
      </c>
      <c r="AA211" s="8">
        <v>14</v>
      </c>
    </row>
    <row r="212" ht="36" customHeight="1" spans="1:27">
      <c r="A212" t="s">
        <v>843</v>
      </c>
      <c r="B212" t="str">
        <f>_xlfn.DISPIMG("ID_FA00A95DB49D4D84A43C726CD436A22D",1)</f>
        <v>=DISPIMG("ID_FA00A95DB49D4D84A43C726CD436A22D",1)</v>
      </c>
      <c r="C212" t="s">
        <v>844</v>
      </c>
      <c r="D212" t="s">
        <v>843</v>
      </c>
      <c r="E212" s="7">
        <v>199</v>
      </c>
      <c r="F212" s="7" t="s">
        <v>654</v>
      </c>
      <c r="G212" s="8" t="s">
        <v>399</v>
      </c>
      <c r="H212">
        <v>0</v>
      </c>
      <c r="I212" s="8">
        <v>118</v>
      </c>
      <c r="J212" s="9">
        <v>1.74795652032222e-5</v>
      </c>
      <c r="K212">
        <v>0</v>
      </c>
      <c r="L212">
        <v>118</v>
      </c>
      <c r="M212" s="10">
        <v>0</v>
      </c>
      <c r="N212" s="10">
        <v>1</v>
      </c>
      <c r="O212" s="9">
        <v>0.00081421394</v>
      </c>
      <c r="P212" s="9">
        <v>0</v>
      </c>
      <c r="Q212" s="9">
        <v>0.00081421394</v>
      </c>
      <c r="R212" t="s">
        <v>606</v>
      </c>
      <c r="S212" s="8" t="s">
        <v>97</v>
      </c>
      <c r="T212" t="s">
        <v>97</v>
      </c>
      <c r="U212" t="s">
        <v>97</v>
      </c>
      <c r="V212" s="8">
        <v>15</v>
      </c>
      <c r="W212" t="s">
        <v>69</v>
      </c>
      <c r="X212" t="s">
        <v>84</v>
      </c>
      <c r="Y212" s="8">
        <v>358</v>
      </c>
      <c r="Z212" s="8">
        <v>314</v>
      </c>
      <c r="AA212" s="8">
        <v>44</v>
      </c>
    </row>
    <row r="213" ht="36" customHeight="1" spans="1:27">
      <c r="A213" t="s">
        <v>845</v>
      </c>
      <c r="B213" t="str">
        <f>_xlfn.DISPIMG("ID_516720E9646F4A4D829C0CF8FBDA8C73",1)</f>
        <v>=DISPIMG("ID_516720E9646F4A4D829C0CF8FBDA8C73",1)</v>
      </c>
      <c r="C213" t="s">
        <v>846</v>
      </c>
      <c r="D213" t="s">
        <v>845</v>
      </c>
      <c r="E213" s="7">
        <v>149.97</v>
      </c>
      <c r="F213" s="7" t="s">
        <v>459</v>
      </c>
      <c r="G213" s="8" t="s">
        <v>459</v>
      </c>
      <c r="H213">
        <v>0</v>
      </c>
      <c r="I213" s="8">
        <v>116</v>
      </c>
      <c r="J213" s="9">
        <v>1.71833013862184e-5</v>
      </c>
      <c r="K213">
        <v>116</v>
      </c>
      <c r="L213">
        <v>0</v>
      </c>
      <c r="M213" s="10">
        <v>1</v>
      </c>
      <c r="N213" s="10">
        <v>0</v>
      </c>
      <c r="O213" s="9">
        <v>0.0007124474</v>
      </c>
      <c r="P213" s="9">
        <v>0.0007124474</v>
      </c>
      <c r="Q213" s="9">
        <v>0</v>
      </c>
      <c r="R213" t="s">
        <v>95</v>
      </c>
      <c r="S213" s="8">
        <v>62</v>
      </c>
      <c r="T213" t="s">
        <v>363</v>
      </c>
      <c r="U213" t="s">
        <v>735</v>
      </c>
      <c r="V213" s="8" t="s">
        <v>97</v>
      </c>
      <c r="W213" t="s">
        <v>97</v>
      </c>
      <c r="X213" t="s">
        <v>97</v>
      </c>
      <c r="Y213" s="8">
        <v>31</v>
      </c>
      <c r="Z213" s="8">
        <v>31</v>
      </c>
      <c r="AA213" s="8">
        <v>0</v>
      </c>
    </row>
    <row r="214" ht="36" customHeight="1" spans="1:27">
      <c r="A214" t="s">
        <v>847</v>
      </c>
      <c r="B214" t="str">
        <f>_xlfn.DISPIMG("ID_07254C7B3E3B4D5F922BCA8A5D9FD5D3",1)</f>
        <v>=DISPIMG("ID_07254C7B3E3B4D5F922BCA8A5D9FD5D3",1)</v>
      </c>
      <c r="C214" t="s">
        <v>848</v>
      </c>
      <c r="D214" t="s">
        <v>847</v>
      </c>
      <c r="E214" s="7">
        <v>109.99</v>
      </c>
      <c r="F214" s="7" t="s">
        <v>115</v>
      </c>
      <c r="G214" s="8" t="s">
        <v>115</v>
      </c>
      <c r="H214">
        <v>300</v>
      </c>
      <c r="I214" s="8">
        <v>109</v>
      </c>
      <c r="J214" s="9">
        <v>1.61463780267052e-5</v>
      </c>
      <c r="K214">
        <v>0</v>
      </c>
      <c r="L214">
        <v>109</v>
      </c>
      <c r="M214" s="10">
        <v>0</v>
      </c>
      <c r="N214" s="10">
        <v>1</v>
      </c>
      <c r="O214" s="9">
        <v>0.0006696428</v>
      </c>
      <c r="P214" s="9">
        <v>0</v>
      </c>
      <c r="Q214" s="9">
        <v>0.0006696428</v>
      </c>
      <c r="R214" t="s">
        <v>528</v>
      </c>
      <c r="S214" s="8" t="s">
        <v>97</v>
      </c>
      <c r="T214" t="s">
        <v>97</v>
      </c>
      <c r="U214" t="s">
        <v>97</v>
      </c>
      <c r="V214" s="8">
        <v>12</v>
      </c>
      <c r="W214" t="s">
        <v>76</v>
      </c>
      <c r="X214" t="s">
        <v>849</v>
      </c>
      <c r="Y214" s="8">
        <v>542</v>
      </c>
      <c r="Z214" s="8">
        <v>499</v>
      </c>
      <c r="AA214" s="8">
        <v>43</v>
      </c>
    </row>
    <row r="215" ht="36" customHeight="1" spans="1:27">
      <c r="A215" t="s">
        <v>850</v>
      </c>
      <c r="B215" t="str">
        <f>_xlfn.DISPIMG("ID_FAF27247DF4944C185AAA91C4DB13621",1)</f>
        <v>=DISPIMG("ID_FAF27247DF4944C185AAA91C4DB13621",1)</v>
      </c>
      <c r="C215" t="s">
        <v>851</v>
      </c>
      <c r="D215" t="s">
        <v>850</v>
      </c>
      <c r="E215" s="7">
        <v>89.99</v>
      </c>
      <c r="F215" s="7" t="s">
        <v>115</v>
      </c>
      <c r="G215" s="8" t="s">
        <v>648</v>
      </c>
      <c r="H215">
        <v>0</v>
      </c>
      <c r="I215" s="8">
        <v>105</v>
      </c>
      <c r="J215" s="9">
        <v>1.55538503926977e-5</v>
      </c>
      <c r="K215">
        <v>105</v>
      </c>
      <c r="L215">
        <v>0</v>
      </c>
      <c r="M215" s="10">
        <v>1</v>
      </c>
      <c r="N215" s="10">
        <v>0</v>
      </c>
      <c r="O215" s="9">
        <v>0.0006440982</v>
      </c>
      <c r="P215" s="9">
        <v>0.0006440982</v>
      </c>
      <c r="Q215" s="9">
        <v>0</v>
      </c>
      <c r="R215" t="s">
        <v>852</v>
      </c>
      <c r="S215" s="8">
        <v>69</v>
      </c>
      <c r="T215" t="s">
        <v>396</v>
      </c>
      <c r="U215" t="s">
        <v>472</v>
      </c>
      <c r="V215" s="8">
        <v>2</v>
      </c>
      <c r="W215" t="s">
        <v>39</v>
      </c>
      <c r="X215" t="s">
        <v>853</v>
      </c>
      <c r="Y215" s="8">
        <v>470</v>
      </c>
      <c r="Z215" s="8">
        <v>55</v>
      </c>
      <c r="AA215" s="8">
        <v>415</v>
      </c>
    </row>
    <row r="216" ht="36" customHeight="1" spans="1:27">
      <c r="A216" t="s">
        <v>854</v>
      </c>
      <c r="B216" t="str">
        <f>_xlfn.DISPIMG("ID_3BDB79DD1C8044798E54DC6CCA534C30",1)</f>
        <v>=DISPIMG("ID_3BDB79DD1C8044798E54DC6CCA534C30",1)</v>
      </c>
      <c r="C216" t="s">
        <v>855</v>
      </c>
      <c r="D216" t="s">
        <v>854</v>
      </c>
      <c r="E216" s="7">
        <v>89.97</v>
      </c>
      <c r="F216" s="7" t="s">
        <v>107</v>
      </c>
      <c r="G216" s="8" t="s">
        <v>856</v>
      </c>
      <c r="H216">
        <v>0</v>
      </c>
      <c r="I216" s="8">
        <v>100</v>
      </c>
      <c r="J216" s="9">
        <v>1.48131908501883e-5</v>
      </c>
      <c r="K216">
        <v>0</v>
      </c>
      <c r="L216">
        <v>100</v>
      </c>
      <c r="M216" s="10">
        <v>0</v>
      </c>
      <c r="N216" s="10">
        <v>1</v>
      </c>
      <c r="O216" s="9">
        <v>0.0006132127</v>
      </c>
      <c r="P216" s="9">
        <v>0</v>
      </c>
      <c r="Q216" s="9">
        <v>0.0006132127</v>
      </c>
      <c r="R216" t="s">
        <v>606</v>
      </c>
      <c r="S216" s="8" t="s">
        <v>97</v>
      </c>
      <c r="T216" t="s">
        <v>97</v>
      </c>
      <c r="U216" t="s">
        <v>97</v>
      </c>
      <c r="V216" s="8">
        <v>18</v>
      </c>
      <c r="W216" t="s">
        <v>293</v>
      </c>
      <c r="X216" t="s">
        <v>242</v>
      </c>
      <c r="Y216" s="8">
        <v>69</v>
      </c>
      <c r="Z216" s="8">
        <v>11</v>
      </c>
      <c r="AA216" s="8">
        <v>58</v>
      </c>
    </row>
    <row r="217" ht="36" customHeight="1" spans="1:27">
      <c r="A217" t="s">
        <v>857</v>
      </c>
      <c r="B217" t="str">
        <f>_xlfn.DISPIMG("ID_3DE9632CCB8D44B29277F889A5C66DDC",1)</f>
        <v>=DISPIMG("ID_3DE9632CCB8D44B29277F889A5C66DDC",1)</v>
      </c>
      <c r="C217" t="s">
        <v>858</v>
      </c>
      <c r="D217" t="s">
        <v>857</v>
      </c>
      <c r="E217" s="7">
        <v>129.99</v>
      </c>
      <c r="F217" s="7" t="s">
        <v>115</v>
      </c>
      <c r="G217" s="8" t="s">
        <v>317</v>
      </c>
      <c r="H217">
        <v>0</v>
      </c>
      <c r="I217" s="8">
        <v>99</v>
      </c>
      <c r="J217" s="9">
        <v>1.46650589416864e-5</v>
      </c>
      <c r="K217">
        <v>0</v>
      </c>
      <c r="L217">
        <v>99</v>
      </c>
      <c r="M217" s="10">
        <v>0</v>
      </c>
      <c r="N217" s="10">
        <v>1</v>
      </c>
      <c r="O217" s="9">
        <v>0.00062361936</v>
      </c>
      <c r="P217" s="9">
        <v>0</v>
      </c>
      <c r="Q217" s="9">
        <v>0.00062361936</v>
      </c>
      <c r="R217" t="s">
        <v>606</v>
      </c>
      <c r="S217" s="8" t="s">
        <v>97</v>
      </c>
      <c r="T217" t="s">
        <v>97</v>
      </c>
      <c r="U217" t="s">
        <v>97</v>
      </c>
      <c r="V217" s="8">
        <v>18</v>
      </c>
      <c r="W217" t="s">
        <v>153</v>
      </c>
      <c r="X217" t="s">
        <v>148</v>
      </c>
      <c r="Y217" s="8">
        <v>283</v>
      </c>
      <c r="Z217" s="8">
        <v>91</v>
      </c>
      <c r="AA217" s="8">
        <v>192</v>
      </c>
    </row>
    <row r="218" ht="36" customHeight="1" spans="1:27">
      <c r="A218" t="s">
        <v>859</v>
      </c>
      <c r="B218" t="str">
        <f>_xlfn.DISPIMG("ID_82DF18F3FD654115BCFFBEA36B055A77",1)</f>
        <v>=DISPIMG("ID_82DF18F3FD654115BCFFBEA36B055A77",1)</v>
      </c>
      <c r="C218" t="s">
        <v>860</v>
      </c>
      <c r="D218" t="s">
        <v>859</v>
      </c>
      <c r="E218" s="7">
        <v>59.99</v>
      </c>
      <c r="F218" s="7" t="s">
        <v>195</v>
      </c>
      <c r="G218" s="8" t="s">
        <v>573</v>
      </c>
      <c r="H218">
        <v>100</v>
      </c>
      <c r="I218" s="8">
        <v>98</v>
      </c>
      <c r="J218" s="9">
        <v>1.45169270331845e-5</v>
      </c>
      <c r="K218">
        <v>98</v>
      </c>
      <c r="L218">
        <v>0</v>
      </c>
      <c r="M218" s="10">
        <v>1</v>
      </c>
      <c r="N218" s="10">
        <v>0</v>
      </c>
      <c r="O218" s="9">
        <v>0.00060185057</v>
      </c>
      <c r="P218" s="9">
        <v>0.00060185057</v>
      </c>
      <c r="Q218" s="9">
        <v>0</v>
      </c>
      <c r="R218" t="s">
        <v>95</v>
      </c>
      <c r="S218" s="8">
        <v>85</v>
      </c>
      <c r="T218" t="s">
        <v>495</v>
      </c>
      <c r="U218" t="s">
        <v>861</v>
      </c>
      <c r="V218" s="8" t="s">
        <v>97</v>
      </c>
      <c r="W218" t="s">
        <v>97</v>
      </c>
      <c r="X218" t="s">
        <v>97</v>
      </c>
      <c r="Y218" s="8">
        <v>79</v>
      </c>
      <c r="Z218" s="8">
        <v>79</v>
      </c>
      <c r="AA218" s="8">
        <v>0</v>
      </c>
    </row>
    <row r="219" ht="36" customHeight="1" spans="1:27">
      <c r="A219" t="s">
        <v>862</v>
      </c>
      <c r="B219" t="str">
        <f>_xlfn.DISPIMG("ID_75C3807E32EA4C6894CF91ABB4BC6305",1)</f>
        <v>=DISPIMG("ID_75C3807E32EA4C6894CF91ABB4BC6305",1)</v>
      </c>
      <c r="C219" t="s">
        <v>832</v>
      </c>
      <c r="D219" t="s">
        <v>862</v>
      </c>
      <c r="E219" s="7">
        <v>69.99</v>
      </c>
      <c r="F219" s="7" t="s">
        <v>214</v>
      </c>
      <c r="G219" s="8" t="s">
        <v>833</v>
      </c>
      <c r="H219">
        <v>0</v>
      </c>
      <c r="I219" s="8">
        <v>97</v>
      </c>
      <c r="J219" s="9">
        <v>1.43687951246826e-5</v>
      </c>
      <c r="K219">
        <v>0</v>
      </c>
      <c r="L219">
        <v>97</v>
      </c>
      <c r="M219" s="10">
        <v>0</v>
      </c>
      <c r="N219" s="10">
        <v>1</v>
      </c>
      <c r="O219" s="9">
        <v>0.0006696429</v>
      </c>
      <c r="P219" s="9">
        <v>0</v>
      </c>
      <c r="Q219" s="9">
        <v>0.0006696429</v>
      </c>
      <c r="R219" t="s">
        <v>439</v>
      </c>
      <c r="S219" s="8" t="s">
        <v>97</v>
      </c>
      <c r="T219" t="s">
        <v>97</v>
      </c>
      <c r="U219" t="s">
        <v>97</v>
      </c>
      <c r="V219" s="8">
        <v>17</v>
      </c>
      <c r="W219" t="s">
        <v>578</v>
      </c>
      <c r="X219" t="s">
        <v>863</v>
      </c>
      <c r="Y219" s="8">
        <v>211</v>
      </c>
      <c r="Z219" s="8">
        <v>181</v>
      </c>
      <c r="AA219" s="8">
        <v>30</v>
      </c>
    </row>
    <row r="220" ht="36" customHeight="1" spans="1:27">
      <c r="A220" t="s">
        <v>864</v>
      </c>
      <c r="B220" t="str">
        <f>_xlfn.DISPIMG("ID_6858F592C877460B8AC2CD3ABEE5F157",1)</f>
        <v>=DISPIMG("ID_6858F592C877460B8AC2CD3ABEE5F157",1)</v>
      </c>
      <c r="C220" t="s">
        <v>865</v>
      </c>
      <c r="D220" t="s">
        <v>864</v>
      </c>
      <c r="E220" s="7">
        <v>89.99</v>
      </c>
      <c r="F220" s="7" t="s">
        <v>36</v>
      </c>
      <c r="G220" s="8" t="s">
        <v>300</v>
      </c>
      <c r="H220">
        <v>400</v>
      </c>
      <c r="I220" s="8">
        <v>64</v>
      </c>
      <c r="J220" s="9">
        <v>9.4804421441205e-6</v>
      </c>
      <c r="K220">
        <v>64</v>
      </c>
      <c r="L220">
        <v>0</v>
      </c>
      <c r="M220" s="10">
        <v>1</v>
      </c>
      <c r="N220" s="10">
        <v>0</v>
      </c>
      <c r="O220" s="9">
        <v>0.0003896176</v>
      </c>
      <c r="P220" s="9">
        <v>0.0003896176</v>
      </c>
      <c r="Q220" s="9">
        <v>0</v>
      </c>
      <c r="R220" t="s">
        <v>95</v>
      </c>
      <c r="S220" s="8">
        <v>112</v>
      </c>
      <c r="T220" t="s">
        <v>866</v>
      </c>
      <c r="U220" t="s">
        <v>867</v>
      </c>
      <c r="V220" s="8" t="s">
        <v>97</v>
      </c>
      <c r="W220" t="s">
        <v>97</v>
      </c>
      <c r="X220" t="s">
        <v>97</v>
      </c>
      <c r="Y220" s="8">
        <v>282</v>
      </c>
      <c r="Z220" s="8">
        <v>282</v>
      </c>
      <c r="AA220" s="8">
        <v>0</v>
      </c>
    </row>
    <row r="221" ht="36" customHeight="1" spans="1:27">
      <c r="A221" t="s">
        <v>868</v>
      </c>
      <c r="B221" t="str">
        <f>_xlfn.DISPIMG("ID_641B4CBE6AC0423F9DB128F786407F45",1)</f>
        <v>=DISPIMG("ID_641B4CBE6AC0423F9DB128F786407F45",1)</v>
      </c>
      <c r="C221" t="s">
        <v>869</v>
      </c>
      <c r="D221" t="s">
        <v>868</v>
      </c>
      <c r="E221" s="7">
        <v>599</v>
      </c>
      <c r="F221" s="7" t="s">
        <v>80</v>
      </c>
      <c r="G221" s="8" t="s">
        <v>870</v>
      </c>
      <c r="H221">
        <v>50</v>
      </c>
      <c r="I221" s="8">
        <v>60</v>
      </c>
      <c r="J221" s="9">
        <v>8.88791451011296e-6</v>
      </c>
      <c r="K221">
        <v>0</v>
      </c>
      <c r="L221">
        <v>60</v>
      </c>
      <c r="M221" s="10">
        <v>0</v>
      </c>
      <c r="N221" s="10">
        <v>1</v>
      </c>
      <c r="O221" s="9">
        <v>0.0003690953</v>
      </c>
      <c r="P221" s="9">
        <v>0</v>
      </c>
      <c r="Q221" s="9">
        <v>0.0003690953</v>
      </c>
      <c r="R221" t="s">
        <v>152</v>
      </c>
      <c r="S221" s="8">
        <v>92</v>
      </c>
      <c r="T221" t="s">
        <v>479</v>
      </c>
      <c r="U221" t="s">
        <v>805</v>
      </c>
      <c r="V221" s="8">
        <v>18</v>
      </c>
      <c r="W221" t="s">
        <v>153</v>
      </c>
      <c r="X221" t="s">
        <v>871</v>
      </c>
      <c r="Y221" s="8">
        <v>654</v>
      </c>
      <c r="Z221" s="8">
        <v>560</v>
      </c>
      <c r="AA221" s="8">
        <v>94</v>
      </c>
    </row>
    <row r="222" ht="36" customHeight="1" spans="1:27">
      <c r="A222" t="s">
        <v>872</v>
      </c>
      <c r="B222" t="str">
        <f>_xlfn.DISPIMG("ID_81B9DDC2B501461794AFAA76D49FAABB",1)</f>
        <v>=DISPIMG("ID_81B9DDC2B501461794AFAA76D49FAABB",1)</v>
      </c>
      <c r="C222" t="s">
        <v>873</v>
      </c>
      <c r="D222" t="s">
        <v>872</v>
      </c>
      <c r="E222" s="7">
        <v>49.99</v>
      </c>
      <c r="F222" s="7" t="s">
        <v>214</v>
      </c>
      <c r="G222" s="8" t="s">
        <v>452</v>
      </c>
      <c r="H222">
        <v>100</v>
      </c>
      <c r="I222" s="8">
        <v>36</v>
      </c>
      <c r="J222" s="9">
        <v>5.33274870606778e-6</v>
      </c>
      <c r="K222">
        <v>0</v>
      </c>
      <c r="L222">
        <v>36</v>
      </c>
      <c r="M222" s="10">
        <v>0</v>
      </c>
      <c r="N222" s="10">
        <v>1</v>
      </c>
      <c r="O222" s="9">
        <v>0.00022236661</v>
      </c>
      <c r="P222" s="9">
        <v>0</v>
      </c>
      <c r="Q222" s="9">
        <v>0.00022236661</v>
      </c>
      <c r="R222" t="s">
        <v>152</v>
      </c>
      <c r="S222" s="8">
        <v>122</v>
      </c>
      <c r="T222" t="s">
        <v>422</v>
      </c>
      <c r="U222" t="s">
        <v>484</v>
      </c>
      <c r="V222" s="8">
        <v>15</v>
      </c>
      <c r="W222" t="s">
        <v>680</v>
      </c>
      <c r="X222" t="s">
        <v>874</v>
      </c>
      <c r="Y222" s="8">
        <v>356</v>
      </c>
      <c r="Z222" s="8">
        <v>290</v>
      </c>
      <c r="AA222" s="8">
        <v>66</v>
      </c>
    </row>
    <row r="223" ht="36" customHeight="1" spans="1:27">
      <c r="A223" t="s">
        <v>875</v>
      </c>
      <c r="B223" t="str">
        <f>_xlfn.DISPIMG("ID_8D0D1E606A5045C784DD5A276B2FF883",1)</f>
        <v>=DISPIMG("ID_8D0D1E606A5045C784DD5A276B2FF883",1)</v>
      </c>
      <c r="C223" t="s">
        <v>876</v>
      </c>
      <c r="D223" t="s">
        <v>875</v>
      </c>
      <c r="E223" s="7">
        <v>199.99</v>
      </c>
      <c r="F223" s="7" t="s">
        <v>87</v>
      </c>
      <c r="G223" s="8" t="s">
        <v>344</v>
      </c>
      <c r="H223">
        <v>100</v>
      </c>
      <c r="I223" s="8">
        <v>29</v>
      </c>
      <c r="J223" s="9">
        <v>4.2958253465546e-6</v>
      </c>
      <c r="K223">
        <v>0</v>
      </c>
      <c r="L223">
        <v>29</v>
      </c>
      <c r="M223" s="10">
        <v>0</v>
      </c>
      <c r="N223" s="10">
        <v>1</v>
      </c>
      <c r="O223" s="9">
        <v>0.00017905794</v>
      </c>
      <c r="P223" s="9">
        <v>0</v>
      </c>
      <c r="Q223" s="9">
        <v>0.00017905794</v>
      </c>
      <c r="R223" t="s">
        <v>606</v>
      </c>
      <c r="S223" s="8" t="s">
        <v>97</v>
      </c>
      <c r="T223" t="s">
        <v>97</v>
      </c>
      <c r="U223" t="s">
        <v>97</v>
      </c>
      <c r="V223" s="8">
        <v>12</v>
      </c>
      <c r="W223" t="s">
        <v>717</v>
      </c>
      <c r="X223" t="s">
        <v>877</v>
      </c>
      <c r="Y223" s="8">
        <v>487</v>
      </c>
      <c r="Z223" s="8">
        <v>373</v>
      </c>
      <c r="AA223" s="8">
        <v>114</v>
      </c>
    </row>
    <row r="224" ht="36" customHeight="1" spans="1:27">
      <c r="A224" t="s">
        <v>878</v>
      </c>
      <c r="B224" t="str">
        <f>_xlfn.DISPIMG("ID_A00013B194DF48DBBEF002F088B9DE42",1)</f>
        <v>=DISPIMG("ID_A00013B194DF48DBBEF002F088B9DE42",1)</v>
      </c>
      <c r="C224" t="s">
        <v>879</v>
      </c>
      <c r="D224" t="s">
        <v>878</v>
      </c>
      <c r="E224" s="7">
        <v>49.99</v>
      </c>
      <c r="F224" s="7" t="s">
        <v>836</v>
      </c>
      <c r="G224" s="8" t="s">
        <v>616</v>
      </c>
      <c r="H224">
        <v>100</v>
      </c>
      <c r="I224" s="8">
        <v>0</v>
      </c>
      <c r="J224" s="9">
        <v>0</v>
      </c>
      <c r="K224">
        <v>0</v>
      </c>
      <c r="L224">
        <v>0</v>
      </c>
      <c r="M224" s="10">
        <v>0</v>
      </c>
      <c r="N224" s="10">
        <v>0</v>
      </c>
      <c r="O224" s="9">
        <v>0</v>
      </c>
      <c r="P224" s="9">
        <v>0</v>
      </c>
      <c r="Q224" s="9">
        <v>0</v>
      </c>
      <c r="R224" t="s">
        <v>152</v>
      </c>
      <c r="S224" s="8">
        <v>63</v>
      </c>
      <c r="T224" t="s">
        <v>140</v>
      </c>
      <c r="U224" t="s">
        <v>880</v>
      </c>
      <c r="V224" s="8">
        <v>9</v>
      </c>
      <c r="W224" t="s">
        <v>104</v>
      </c>
      <c r="X224" t="s">
        <v>881</v>
      </c>
      <c r="Y224" s="8">
        <v>272</v>
      </c>
      <c r="Z224" s="8">
        <v>265</v>
      </c>
      <c r="AA224" s="8">
        <v>7</v>
      </c>
    </row>
    <row r="225" ht="36" customHeight="1" spans="1:27">
      <c r="A225" t="s">
        <v>882</v>
      </c>
      <c r="B225" t="str">
        <f>_xlfn.DISPIMG("ID_425CC2E4E46648F99CE3DBC8E5C4ACCA",1)</f>
        <v>=DISPIMG("ID_425CC2E4E46648F99CE3DBC8E5C4ACCA",1)</v>
      </c>
      <c r="C225" t="s">
        <v>883</v>
      </c>
      <c r="D225" t="s">
        <v>882</v>
      </c>
      <c r="E225" s="7">
        <v>362.7</v>
      </c>
      <c r="F225" s="7" t="s">
        <v>191</v>
      </c>
      <c r="G225" s="8" t="s">
        <v>884</v>
      </c>
      <c r="H225">
        <v>0</v>
      </c>
      <c r="I225" s="8">
        <v>0</v>
      </c>
      <c r="J225" s="9">
        <v>0</v>
      </c>
      <c r="K225">
        <v>0</v>
      </c>
      <c r="L225">
        <v>0</v>
      </c>
      <c r="M225" s="10">
        <v>0</v>
      </c>
      <c r="N225" s="10">
        <v>0</v>
      </c>
      <c r="O225" s="9">
        <v>0</v>
      </c>
      <c r="P225" s="9">
        <v>0</v>
      </c>
      <c r="Q225" s="9">
        <v>0</v>
      </c>
      <c r="R225" t="s">
        <v>590</v>
      </c>
      <c r="S225" s="8" t="s">
        <v>97</v>
      </c>
      <c r="T225" t="s">
        <v>97</v>
      </c>
      <c r="U225" t="s">
        <v>97</v>
      </c>
      <c r="V225" s="8" t="s">
        <v>97</v>
      </c>
      <c r="W225" t="s">
        <v>97</v>
      </c>
      <c r="X225" t="s">
        <v>97</v>
      </c>
      <c r="Y225" s="8">
        <v>3</v>
      </c>
      <c r="Z225" s="8">
        <v>1</v>
      </c>
      <c r="AA225" s="8">
        <v>2</v>
      </c>
    </row>
    <row r="226" ht="36" customHeight="1" spans="1:27">
      <c r="A226" t="s">
        <v>885</v>
      </c>
      <c r="B226" t="str">
        <f>_xlfn.DISPIMG("ID_8D5ABB4048FB41FBA207870FE226AEEB",1)</f>
        <v>=DISPIMG("ID_8D5ABB4048FB41FBA207870FE226AEEB",1)</v>
      </c>
      <c r="C226" t="s">
        <v>886</v>
      </c>
      <c r="D226" t="s">
        <v>885</v>
      </c>
      <c r="E226" s="7">
        <v>69.99</v>
      </c>
      <c r="F226" s="7" t="s">
        <v>214</v>
      </c>
      <c r="G226" s="8" t="s">
        <v>887</v>
      </c>
      <c r="H226">
        <v>50</v>
      </c>
      <c r="I226" s="8">
        <v>0</v>
      </c>
      <c r="J226" s="9">
        <v>0</v>
      </c>
      <c r="K226">
        <v>0</v>
      </c>
      <c r="L226">
        <v>0</v>
      </c>
      <c r="M226" s="10">
        <v>0</v>
      </c>
      <c r="N226" s="10">
        <v>0</v>
      </c>
      <c r="O226" s="9">
        <v>0</v>
      </c>
      <c r="P226" s="9">
        <v>0</v>
      </c>
      <c r="Q226" s="9">
        <v>0</v>
      </c>
      <c r="R226" t="s">
        <v>606</v>
      </c>
      <c r="S226" s="8" t="s">
        <v>97</v>
      </c>
      <c r="T226" t="s">
        <v>97</v>
      </c>
      <c r="U226" t="s">
        <v>97</v>
      </c>
      <c r="V226" s="8">
        <v>34</v>
      </c>
      <c r="W226" t="s">
        <v>124</v>
      </c>
      <c r="X226" t="s">
        <v>888</v>
      </c>
      <c r="Y226" s="8">
        <v>400</v>
      </c>
      <c r="Z226" s="8">
        <v>354</v>
      </c>
      <c r="AA226" s="8">
        <v>46</v>
      </c>
    </row>
    <row r="227" ht="36" customHeight="1" spans="1:27">
      <c r="A227" t="s">
        <v>889</v>
      </c>
      <c r="B227" t="str">
        <f>_xlfn.DISPIMG("ID_51A3B3255CF1449A9C6FC1541C2D59BA",1)</f>
        <v>=DISPIMG("ID_51A3B3255CF1449A9C6FC1541C2D59BA",1)</v>
      </c>
      <c r="C227" t="s">
        <v>890</v>
      </c>
      <c r="D227" t="s">
        <v>889</v>
      </c>
      <c r="E227" s="7">
        <v>49.99</v>
      </c>
      <c r="F227" s="7" t="s">
        <v>36</v>
      </c>
      <c r="G227" s="8" t="s">
        <v>891</v>
      </c>
      <c r="H227">
        <v>300</v>
      </c>
      <c r="I227" s="8">
        <v>0</v>
      </c>
      <c r="J227" s="9">
        <v>0</v>
      </c>
      <c r="K227">
        <v>0</v>
      </c>
      <c r="L227">
        <v>0</v>
      </c>
      <c r="M227" s="10">
        <v>0</v>
      </c>
      <c r="N227" s="10">
        <v>0</v>
      </c>
      <c r="O227" s="9">
        <v>0</v>
      </c>
      <c r="P227" s="9">
        <v>0</v>
      </c>
      <c r="Q227" s="9">
        <v>0</v>
      </c>
      <c r="R227" t="s">
        <v>95</v>
      </c>
      <c r="S227" s="8">
        <v>28</v>
      </c>
      <c r="T227" t="s">
        <v>812</v>
      </c>
      <c r="U227" t="s">
        <v>465</v>
      </c>
      <c r="V227" s="8" t="s">
        <v>97</v>
      </c>
      <c r="W227" t="s">
        <v>97</v>
      </c>
      <c r="X227" t="s">
        <v>97</v>
      </c>
      <c r="Y227" s="8">
        <v>222</v>
      </c>
      <c r="Z227" s="8">
        <v>154</v>
      </c>
      <c r="AA227" s="8">
        <v>68</v>
      </c>
    </row>
    <row r="228" ht="36" customHeight="1" spans="1:27">
      <c r="A228" t="s">
        <v>892</v>
      </c>
      <c r="B228" t="str">
        <f>_xlfn.DISPIMG("ID_C5BCA6DCBA6F49159CAF5DF484998802",1)</f>
        <v>=DISPIMG("ID_C5BCA6DCBA6F49159CAF5DF484998802",1)</v>
      </c>
      <c r="C228" t="s">
        <v>893</v>
      </c>
      <c r="D228" t="s">
        <v>892</v>
      </c>
      <c r="E228" s="7">
        <v>59.99</v>
      </c>
      <c r="F228" s="7" t="s">
        <v>36</v>
      </c>
      <c r="G228" s="8" t="s">
        <v>894</v>
      </c>
      <c r="H228">
        <v>200</v>
      </c>
      <c r="I228" s="8">
        <v>0</v>
      </c>
      <c r="J228" s="9">
        <v>0</v>
      </c>
      <c r="K228">
        <v>0</v>
      </c>
      <c r="L228">
        <v>0</v>
      </c>
      <c r="M228" s="10">
        <v>0</v>
      </c>
      <c r="N228" s="10">
        <v>0</v>
      </c>
      <c r="O228" s="9">
        <v>0</v>
      </c>
      <c r="P228" s="9">
        <v>0</v>
      </c>
      <c r="Q228" s="9">
        <v>0</v>
      </c>
      <c r="R228" t="s">
        <v>152</v>
      </c>
      <c r="S228" s="8">
        <v>113</v>
      </c>
      <c r="T228" t="s">
        <v>895</v>
      </c>
      <c r="U228" t="s">
        <v>896</v>
      </c>
      <c r="V228" s="8">
        <v>17</v>
      </c>
      <c r="W228" t="s">
        <v>103</v>
      </c>
      <c r="X228" t="s">
        <v>897</v>
      </c>
      <c r="Y228" s="8">
        <v>438</v>
      </c>
      <c r="Z228" s="8">
        <v>438</v>
      </c>
      <c r="AA228" s="8">
        <v>0</v>
      </c>
    </row>
    <row r="229" ht="36" customHeight="1" spans="1:27">
      <c r="A229" t="s">
        <v>898</v>
      </c>
      <c r="B229" t="str">
        <f>_xlfn.DISPIMG("ID_0001023DEE9247DC97B82A4F1567DB48",1)</f>
        <v>=DISPIMG("ID_0001023DEE9247DC97B82A4F1567DB48",1)</v>
      </c>
      <c r="C229" t="s">
        <v>899</v>
      </c>
      <c r="D229" t="s">
        <v>898</v>
      </c>
      <c r="E229" s="7">
        <v>269.99</v>
      </c>
      <c r="F229" s="7" t="s">
        <v>87</v>
      </c>
      <c r="G229" s="8" t="s">
        <v>426</v>
      </c>
      <c r="H229">
        <v>0</v>
      </c>
      <c r="I229" s="8">
        <v>0</v>
      </c>
      <c r="J229" s="9">
        <v>0</v>
      </c>
      <c r="K229">
        <v>0</v>
      </c>
      <c r="L229">
        <v>0</v>
      </c>
      <c r="M229" s="10">
        <v>0</v>
      </c>
      <c r="N229" s="10">
        <v>0</v>
      </c>
      <c r="O229" s="9">
        <v>0</v>
      </c>
      <c r="P229" s="9">
        <v>0</v>
      </c>
      <c r="Q229" s="9">
        <v>0</v>
      </c>
      <c r="R229" t="s">
        <v>606</v>
      </c>
      <c r="S229" s="8" t="s">
        <v>97</v>
      </c>
      <c r="T229" t="s">
        <v>97</v>
      </c>
      <c r="U229" t="s">
        <v>97</v>
      </c>
      <c r="V229" s="8">
        <v>8</v>
      </c>
      <c r="W229" t="s">
        <v>147</v>
      </c>
      <c r="X229" t="s">
        <v>900</v>
      </c>
      <c r="Y229" s="8">
        <v>116</v>
      </c>
      <c r="Z229" s="8">
        <v>116</v>
      </c>
      <c r="AA229" s="8">
        <v>0</v>
      </c>
    </row>
    <row r="230" ht="36" customHeight="1" spans="1:27">
      <c r="A230" t="s">
        <v>901</v>
      </c>
      <c r="B230" t="str">
        <f>_xlfn.DISPIMG("ID_6A32313B82B04A7599D484E63D40F77C",1)</f>
        <v>=DISPIMG("ID_6A32313B82B04A7599D484E63D40F77C",1)</v>
      </c>
      <c r="C230" t="s">
        <v>902</v>
      </c>
      <c r="D230" t="s">
        <v>901</v>
      </c>
      <c r="E230" s="7">
        <v>299</v>
      </c>
      <c r="F230" s="7" t="s">
        <v>100</v>
      </c>
      <c r="G230" s="8" t="s">
        <v>376</v>
      </c>
      <c r="H230">
        <v>0</v>
      </c>
      <c r="I230" s="8">
        <v>0</v>
      </c>
      <c r="J230" s="9">
        <v>0</v>
      </c>
      <c r="K230">
        <v>0</v>
      </c>
      <c r="L230">
        <v>0</v>
      </c>
      <c r="M230" s="10">
        <v>0</v>
      </c>
      <c r="N230" s="10">
        <v>0</v>
      </c>
      <c r="O230" s="9">
        <v>0</v>
      </c>
      <c r="P230" s="9">
        <v>0</v>
      </c>
      <c r="Q230" s="9">
        <v>0</v>
      </c>
      <c r="R230" t="s">
        <v>606</v>
      </c>
      <c r="S230" s="8" t="s">
        <v>97</v>
      </c>
      <c r="T230" t="s">
        <v>97</v>
      </c>
      <c r="U230" t="s">
        <v>97</v>
      </c>
      <c r="V230" s="8">
        <v>19</v>
      </c>
      <c r="W230" t="s">
        <v>595</v>
      </c>
      <c r="X230" t="s">
        <v>903</v>
      </c>
      <c r="Y230" s="8">
        <v>130</v>
      </c>
      <c r="Z230" s="8">
        <v>57</v>
      </c>
      <c r="AA230" s="8">
        <v>73</v>
      </c>
    </row>
    <row r="231" ht="36" customHeight="1" spans="1:27">
      <c r="A231" t="s">
        <v>904</v>
      </c>
      <c r="B231" t="str">
        <f>_xlfn.DISPIMG("ID_78E81FB0A1A744B087B3C4AAF8A46018",1)</f>
        <v>=DISPIMG("ID_78E81FB0A1A744B087B3C4AAF8A46018",1)</v>
      </c>
      <c r="C231" t="s">
        <v>905</v>
      </c>
      <c r="D231" t="s">
        <v>904</v>
      </c>
      <c r="E231" s="7">
        <v>79.99</v>
      </c>
      <c r="F231" s="7" t="s">
        <v>107</v>
      </c>
      <c r="G231" s="8" t="s">
        <v>253</v>
      </c>
      <c r="H231">
        <v>0</v>
      </c>
      <c r="I231" s="8">
        <v>0</v>
      </c>
      <c r="J231" s="9">
        <v>0</v>
      </c>
      <c r="K231">
        <v>0</v>
      </c>
      <c r="L231">
        <v>0</v>
      </c>
      <c r="M231" s="10">
        <v>0</v>
      </c>
      <c r="N231" s="10">
        <v>0</v>
      </c>
      <c r="O231" s="9">
        <v>0</v>
      </c>
      <c r="P231" s="9">
        <v>0</v>
      </c>
      <c r="Q231" s="9">
        <v>0</v>
      </c>
      <c r="R231" t="s">
        <v>606</v>
      </c>
      <c r="S231" s="8" t="s">
        <v>97</v>
      </c>
      <c r="T231" t="s">
        <v>97</v>
      </c>
      <c r="U231" t="s">
        <v>97</v>
      </c>
      <c r="V231" s="8">
        <v>11</v>
      </c>
      <c r="W231" t="s">
        <v>46</v>
      </c>
      <c r="X231" t="s">
        <v>906</v>
      </c>
      <c r="Y231" s="8">
        <v>29</v>
      </c>
      <c r="Z231" s="8">
        <v>26</v>
      </c>
      <c r="AA231" s="8">
        <v>3</v>
      </c>
    </row>
    <row r="232" ht="36" customHeight="1" spans="1:27">
      <c r="A232" t="s">
        <v>907</v>
      </c>
      <c r="B232" t="str">
        <f>_xlfn.DISPIMG("ID_78075BE421A54DC29211E07E820117FF",1)</f>
        <v>=DISPIMG("ID_78075BE421A54DC29211E07E820117FF",1)</v>
      </c>
      <c r="C232" t="s">
        <v>908</v>
      </c>
      <c r="D232" t="s">
        <v>907</v>
      </c>
      <c r="E232" s="7">
        <v>39.99</v>
      </c>
      <c r="F232" s="7" t="s">
        <v>257</v>
      </c>
      <c r="G232" s="8" t="s">
        <v>226</v>
      </c>
      <c r="H232">
        <v>100</v>
      </c>
      <c r="I232" s="8">
        <v>0</v>
      </c>
      <c r="J232" s="9">
        <v>0</v>
      </c>
      <c r="K232">
        <v>0</v>
      </c>
      <c r="L232">
        <v>0</v>
      </c>
      <c r="M232" s="10">
        <v>0</v>
      </c>
      <c r="N232" s="10">
        <v>0</v>
      </c>
      <c r="O232" s="9">
        <v>0</v>
      </c>
      <c r="P232" s="9">
        <v>0</v>
      </c>
      <c r="Q232" s="9">
        <v>0</v>
      </c>
      <c r="R232" t="s">
        <v>439</v>
      </c>
      <c r="S232" s="8" t="s">
        <v>97</v>
      </c>
      <c r="T232" t="s">
        <v>97</v>
      </c>
      <c r="U232" t="s">
        <v>97</v>
      </c>
      <c r="V232" s="8">
        <v>5</v>
      </c>
      <c r="W232" t="s">
        <v>117</v>
      </c>
      <c r="X232" t="s">
        <v>881</v>
      </c>
      <c r="Y232" s="8">
        <v>562</v>
      </c>
      <c r="Z232" s="8">
        <v>534</v>
      </c>
      <c r="AA232" s="8">
        <v>28</v>
      </c>
    </row>
    <row r="233" ht="36" customHeight="1" spans="1:27">
      <c r="A233" t="s">
        <v>909</v>
      </c>
      <c r="B233" t="str">
        <f>_xlfn.DISPIMG("ID_B8BE2FA50BD449149EB77D17C7ED100B",1)</f>
        <v>=DISPIMG("ID_B8BE2FA50BD449149EB77D17C7ED100B",1)</v>
      </c>
      <c r="C233" t="s">
        <v>910</v>
      </c>
      <c r="D233" t="s">
        <v>909</v>
      </c>
      <c r="E233" s="7">
        <v>39.98</v>
      </c>
      <c r="F233" s="7" t="s">
        <v>65</v>
      </c>
      <c r="G233" s="8" t="s">
        <v>540</v>
      </c>
      <c r="H233">
        <v>600</v>
      </c>
      <c r="I233" s="8">
        <v>0</v>
      </c>
      <c r="J233" s="9">
        <v>0</v>
      </c>
      <c r="K233">
        <v>0</v>
      </c>
      <c r="L233">
        <v>0</v>
      </c>
      <c r="M233" s="10">
        <v>0</v>
      </c>
      <c r="N233" s="10">
        <v>0</v>
      </c>
      <c r="O233" s="9">
        <v>0</v>
      </c>
      <c r="P233" s="9">
        <v>0</v>
      </c>
      <c r="Q233" s="9">
        <v>0</v>
      </c>
      <c r="R233" t="s">
        <v>152</v>
      </c>
      <c r="S233" s="8">
        <v>18</v>
      </c>
      <c r="T233" t="s">
        <v>68</v>
      </c>
      <c r="U233" t="s">
        <v>465</v>
      </c>
      <c r="V233" s="8">
        <v>7</v>
      </c>
      <c r="W233" t="s">
        <v>111</v>
      </c>
      <c r="X233" t="s">
        <v>911</v>
      </c>
      <c r="Y233" s="8">
        <v>827</v>
      </c>
      <c r="Z233" s="8">
        <v>827</v>
      </c>
      <c r="AA233" s="8">
        <v>0</v>
      </c>
    </row>
    <row r="234" ht="36" customHeight="1" spans="1:27">
      <c r="A234" t="s">
        <v>912</v>
      </c>
      <c r="B234" t="str">
        <f>_xlfn.DISPIMG("ID_4869BEBC667F4F7D831AC39E4812391A",1)</f>
        <v>=DISPIMG("ID_4869BEBC667F4F7D831AC39E4812391A",1)</v>
      </c>
      <c r="C234" t="s">
        <v>913</v>
      </c>
      <c r="D234" t="s">
        <v>912</v>
      </c>
      <c r="E234" s="7">
        <v>99.99</v>
      </c>
      <c r="F234" s="7" t="s">
        <v>195</v>
      </c>
      <c r="G234" s="8" t="s">
        <v>914</v>
      </c>
      <c r="H234">
        <v>100</v>
      </c>
      <c r="I234" s="8">
        <v>0</v>
      </c>
      <c r="J234" s="9">
        <v>0</v>
      </c>
      <c r="K234">
        <v>0</v>
      </c>
      <c r="L234">
        <v>0</v>
      </c>
      <c r="M234" s="10">
        <v>0</v>
      </c>
      <c r="N234" s="10">
        <v>0</v>
      </c>
      <c r="O234" s="9">
        <v>0</v>
      </c>
      <c r="P234" s="9">
        <v>0</v>
      </c>
      <c r="Q234" s="9">
        <v>0</v>
      </c>
      <c r="R234" t="s">
        <v>95</v>
      </c>
      <c r="S234" s="8">
        <v>98</v>
      </c>
      <c r="T234" t="s">
        <v>135</v>
      </c>
      <c r="U234" t="s">
        <v>915</v>
      </c>
      <c r="V234" s="8" t="s">
        <v>97</v>
      </c>
      <c r="W234" t="s">
        <v>97</v>
      </c>
      <c r="X234" t="s">
        <v>97</v>
      </c>
      <c r="Y234" s="8">
        <v>280</v>
      </c>
      <c r="Z234" s="8">
        <v>77</v>
      </c>
      <c r="AA234" s="8">
        <v>203</v>
      </c>
    </row>
    <row r="235" ht="36" customHeight="1" spans="1:27">
      <c r="A235" t="s">
        <v>916</v>
      </c>
      <c r="B235" t="str">
        <f>_xlfn.DISPIMG("ID_A84E3BDD9AB34870906EE24B9886DE91",1)</f>
        <v>=DISPIMG("ID_A84E3BDD9AB34870906EE24B9886DE91",1)</v>
      </c>
      <c r="C235" t="s">
        <v>230</v>
      </c>
      <c r="D235" t="s">
        <v>916</v>
      </c>
      <c r="E235" s="7">
        <v>99.99</v>
      </c>
      <c r="F235" s="7" t="s">
        <v>115</v>
      </c>
      <c r="G235" s="8" t="s">
        <v>139</v>
      </c>
      <c r="H235">
        <v>0</v>
      </c>
      <c r="I235" s="8">
        <v>0</v>
      </c>
      <c r="J235" s="9">
        <v>0</v>
      </c>
      <c r="K235">
        <v>0</v>
      </c>
      <c r="L235">
        <v>0</v>
      </c>
      <c r="M235" s="10">
        <v>0</v>
      </c>
      <c r="N235" s="10">
        <v>0</v>
      </c>
      <c r="O235" s="9">
        <v>0</v>
      </c>
      <c r="P235" s="9">
        <v>0</v>
      </c>
      <c r="Q235" s="9">
        <v>0</v>
      </c>
      <c r="R235" t="s">
        <v>38</v>
      </c>
      <c r="S235" s="8">
        <v>110</v>
      </c>
      <c r="T235" t="s">
        <v>917</v>
      </c>
      <c r="U235" t="s">
        <v>918</v>
      </c>
      <c r="V235" s="8">
        <v>12</v>
      </c>
      <c r="W235" t="s">
        <v>76</v>
      </c>
      <c r="X235" t="s">
        <v>919</v>
      </c>
      <c r="Y235" s="8">
        <v>12</v>
      </c>
      <c r="Z235" s="8">
        <v>3</v>
      </c>
      <c r="AA235" s="8">
        <v>9</v>
      </c>
    </row>
    <row r="236" ht="36" customHeight="1" spans="1:27">
      <c r="A236" t="s">
        <v>920</v>
      </c>
      <c r="B236" t="str">
        <f>_xlfn.DISPIMG("ID_44F7146299CB4D4D85C64B1A7B263E1A",1)</f>
        <v>=DISPIMG("ID_44F7146299CB4D4D85C64B1A7B263E1A",1)</v>
      </c>
      <c r="C236" t="s">
        <v>921</v>
      </c>
      <c r="D236" t="s">
        <v>920</v>
      </c>
      <c r="E236" s="7">
        <v>37.99</v>
      </c>
      <c r="F236" s="7" t="s">
        <v>195</v>
      </c>
      <c r="G236" s="8" t="s">
        <v>922</v>
      </c>
      <c r="H236">
        <v>0</v>
      </c>
      <c r="I236" s="8">
        <v>0</v>
      </c>
      <c r="J236" s="9">
        <v>0</v>
      </c>
      <c r="K236">
        <v>0</v>
      </c>
      <c r="L236">
        <v>0</v>
      </c>
      <c r="M236" s="10">
        <v>0</v>
      </c>
      <c r="N236" s="10">
        <v>0</v>
      </c>
      <c r="O236" s="9">
        <v>0</v>
      </c>
      <c r="P236" s="9">
        <v>0</v>
      </c>
      <c r="Q236" s="9">
        <v>0</v>
      </c>
      <c r="R236" t="s">
        <v>95</v>
      </c>
      <c r="S236" s="8">
        <v>126</v>
      </c>
      <c r="T236" t="s">
        <v>923</v>
      </c>
      <c r="U236" t="s">
        <v>484</v>
      </c>
      <c r="V236" s="8" t="s">
        <v>97</v>
      </c>
      <c r="W236" t="s">
        <v>97</v>
      </c>
      <c r="X236" t="s">
        <v>97</v>
      </c>
      <c r="Y236" s="8">
        <v>14</v>
      </c>
      <c r="Z236" s="8">
        <v>14</v>
      </c>
      <c r="AA236" s="8">
        <v>0</v>
      </c>
    </row>
    <row r="237" ht="36" customHeight="1" spans="1:27">
      <c r="A237" t="s">
        <v>924</v>
      </c>
      <c r="B237" t="str">
        <f>_xlfn.DISPIMG("ID_5A9BE6833E7E48418B78F133F5541E93",1)</f>
        <v>=DISPIMG("ID_5A9BE6833E7E48418B78F133F5541E93",1)</v>
      </c>
      <c r="C237" t="s">
        <v>925</v>
      </c>
      <c r="D237" t="s">
        <v>924</v>
      </c>
      <c r="E237" s="7">
        <v>49.99</v>
      </c>
      <c r="F237" s="7" t="s">
        <v>195</v>
      </c>
      <c r="G237" s="8" t="s">
        <v>157</v>
      </c>
      <c r="H237">
        <v>0</v>
      </c>
      <c r="I237" s="8">
        <v>0</v>
      </c>
      <c r="J237" s="9">
        <v>0</v>
      </c>
      <c r="K237">
        <v>0</v>
      </c>
      <c r="L237">
        <v>0</v>
      </c>
      <c r="M237" s="10">
        <v>0</v>
      </c>
      <c r="N237" s="10">
        <v>0</v>
      </c>
      <c r="O237" s="9">
        <v>0</v>
      </c>
      <c r="P237" s="9">
        <v>0</v>
      </c>
      <c r="Q237" s="9">
        <v>0</v>
      </c>
      <c r="R237" t="s">
        <v>95</v>
      </c>
      <c r="S237" s="8">
        <v>77</v>
      </c>
      <c r="T237" t="s">
        <v>632</v>
      </c>
      <c r="U237" t="s">
        <v>926</v>
      </c>
      <c r="V237" s="8" t="s">
        <v>97</v>
      </c>
      <c r="W237" t="s">
        <v>97</v>
      </c>
      <c r="X237" t="s">
        <v>97</v>
      </c>
      <c r="Y237" s="8">
        <v>245</v>
      </c>
      <c r="Z237" s="8">
        <v>245</v>
      </c>
      <c r="AA237" s="8">
        <v>0</v>
      </c>
    </row>
    <row r="238" ht="36" customHeight="1" spans="1:27">
      <c r="A238" t="s">
        <v>927</v>
      </c>
      <c r="B238" t="str">
        <f>_xlfn.DISPIMG("ID_BB8ACC47D41F42AA9EF2AF1823B25906",1)</f>
        <v>=DISPIMG("ID_BB8ACC47D41F42AA9EF2AF1823B25906",1)</v>
      </c>
      <c r="C238" t="s">
        <v>928</v>
      </c>
      <c r="D238" t="s">
        <v>927</v>
      </c>
      <c r="E238" s="7">
        <v>45.11</v>
      </c>
      <c r="F238" s="7" t="s">
        <v>65</v>
      </c>
      <c r="G238" s="8" t="s">
        <v>922</v>
      </c>
      <c r="H238">
        <v>0</v>
      </c>
      <c r="I238" s="8">
        <v>0</v>
      </c>
      <c r="J238" s="9">
        <v>0</v>
      </c>
      <c r="K238">
        <v>0</v>
      </c>
      <c r="L238">
        <v>0</v>
      </c>
      <c r="M238" s="10">
        <v>0</v>
      </c>
      <c r="N238" s="10">
        <v>0</v>
      </c>
      <c r="O238" s="9">
        <v>0</v>
      </c>
      <c r="P238" s="9">
        <v>0</v>
      </c>
      <c r="Q238" s="9">
        <v>0</v>
      </c>
      <c r="R238" t="s">
        <v>606</v>
      </c>
      <c r="S238" s="8" t="s">
        <v>97</v>
      </c>
      <c r="T238" t="s">
        <v>97</v>
      </c>
      <c r="U238" t="s">
        <v>97</v>
      </c>
      <c r="V238" s="8">
        <v>20</v>
      </c>
      <c r="W238" t="s">
        <v>390</v>
      </c>
      <c r="X238" t="s">
        <v>929</v>
      </c>
      <c r="Y238" s="8">
        <v>214</v>
      </c>
      <c r="Z238" s="8">
        <v>186</v>
      </c>
      <c r="AA238" s="8">
        <v>28</v>
      </c>
    </row>
    <row r="239" ht="36" customHeight="1" spans="1:27">
      <c r="A239" t="s">
        <v>930</v>
      </c>
      <c r="B239" t="str">
        <f>_xlfn.DISPIMG("ID_F4B1510202A64783A7C96EBBD1EEFD7B",1)</f>
        <v>=DISPIMG("ID_F4B1510202A64783A7C96EBBD1EEFD7B",1)</v>
      </c>
      <c r="C239" t="s">
        <v>234</v>
      </c>
      <c r="D239" t="s">
        <v>930</v>
      </c>
      <c r="E239" s="7">
        <v>99.99</v>
      </c>
      <c r="F239" s="7" t="s">
        <v>87</v>
      </c>
      <c r="G239" s="8" t="s">
        <v>182</v>
      </c>
      <c r="H239">
        <v>500</v>
      </c>
      <c r="I239" s="8">
        <v>0</v>
      </c>
      <c r="J239" s="9">
        <v>0</v>
      </c>
      <c r="K239">
        <v>0</v>
      </c>
      <c r="L239">
        <v>0</v>
      </c>
      <c r="M239" s="10">
        <v>0</v>
      </c>
      <c r="N239" s="10">
        <v>0</v>
      </c>
      <c r="O239" s="9">
        <v>0</v>
      </c>
      <c r="P239" s="9">
        <v>0</v>
      </c>
      <c r="Q239" s="9">
        <v>0</v>
      </c>
      <c r="R239" t="s">
        <v>38</v>
      </c>
      <c r="S239" s="8">
        <v>54</v>
      </c>
      <c r="T239" t="s">
        <v>293</v>
      </c>
      <c r="U239" t="s">
        <v>805</v>
      </c>
      <c r="V239" s="8">
        <v>3</v>
      </c>
      <c r="W239" t="s">
        <v>56</v>
      </c>
      <c r="X239" t="s">
        <v>931</v>
      </c>
      <c r="Y239" s="8">
        <v>20</v>
      </c>
      <c r="Z239" s="8">
        <v>20</v>
      </c>
      <c r="AA239" s="8">
        <v>0</v>
      </c>
    </row>
    <row r="240" ht="36" customHeight="1" spans="1:27">
      <c r="A240" t="s">
        <v>932</v>
      </c>
      <c r="B240" t="str">
        <f>_xlfn.DISPIMG("ID_884F37CA4013481A9CA4AD544AE50C8E",1)</f>
        <v>=DISPIMG("ID_884F37CA4013481A9CA4AD544AE50C8E",1)</v>
      </c>
      <c r="C240" t="s">
        <v>933</v>
      </c>
      <c r="D240" t="s">
        <v>932</v>
      </c>
      <c r="E240" s="7">
        <v>170</v>
      </c>
      <c r="F240" s="7" t="s">
        <v>191</v>
      </c>
      <c r="G240" s="8" t="s">
        <v>380</v>
      </c>
      <c r="H240">
        <v>0</v>
      </c>
      <c r="I240" s="8">
        <v>0</v>
      </c>
      <c r="J240" s="9">
        <v>0</v>
      </c>
      <c r="K240">
        <v>0</v>
      </c>
      <c r="L240">
        <v>0</v>
      </c>
      <c r="M240" s="10">
        <v>0</v>
      </c>
      <c r="N240" s="10">
        <v>0</v>
      </c>
      <c r="O240" s="9">
        <v>0</v>
      </c>
      <c r="P240" s="9">
        <v>0</v>
      </c>
      <c r="Q240" s="9">
        <v>0</v>
      </c>
      <c r="R240" t="s">
        <v>403</v>
      </c>
      <c r="S240" s="8" t="s">
        <v>97</v>
      </c>
      <c r="T240" t="s">
        <v>97</v>
      </c>
      <c r="U240" t="s">
        <v>97</v>
      </c>
      <c r="V240" s="8">
        <v>2</v>
      </c>
      <c r="W240" t="s">
        <v>39</v>
      </c>
      <c r="X240" t="s">
        <v>934</v>
      </c>
      <c r="Y240" s="8">
        <v>171</v>
      </c>
      <c r="Z240" s="8">
        <v>140</v>
      </c>
      <c r="AA240" s="8">
        <v>31</v>
      </c>
    </row>
    <row r="241" ht="36" customHeight="1" spans="1:27">
      <c r="A241" t="s">
        <v>935</v>
      </c>
      <c r="B241" t="str">
        <f>_xlfn.DISPIMG("ID_4AB125743571441FA5CAF4C39B1A1F28",1)</f>
        <v>=DISPIMG("ID_4AB125743571441FA5CAF4C39B1A1F28",1)</v>
      </c>
      <c r="C241" t="s">
        <v>936</v>
      </c>
      <c r="D241" t="s">
        <v>935</v>
      </c>
      <c r="E241" s="7">
        <v>69.99</v>
      </c>
      <c r="F241" s="7" t="s">
        <v>459</v>
      </c>
      <c r="G241" s="8" t="s">
        <v>459</v>
      </c>
      <c r="H241">
        <v>100</v>
      </c>
      <c r="I241" s="8">
        <v>0</v>
      </c>
      <c r="J241" s="9">
        <v>0</v>
      </c>
      <c r="K241">
        <v>0</v>
      </c>
      <c r="L241">
        <v>0</v>
      </c>
      <c r="M241" s="10">
        <v>0</v>
      </c>
      <c r="N241" s="10">
        <v>0</v>
      </c>
      <c r="O241" s="9">
        <v>0</v>
      </c>
      <c r="P241" s="9">
        <v>0</v>
      </c>
      <c r="Q241" s="9">
        <v>0</v>
      </c>
      <c r="R241" t="s">
        <v>95</v>
      </c>
      <c r="S241" s="8">
        <v>140</v>
      </c>
      <c r="T241" t="s">
        <v>636</v>
      </c>
      <c r="U241" t="s">
        <v>937</v>
      </c>
      <c r="V241" s="8" t="s">
        <v>97</v>
      </c>
      <c r="W241" t="s">
        <v>97</v>
      </c>
      <c r="X241" t="s">
        <v>97</v>
      </c>
      <c r="Y241" s="8">
        <v>446</v>
      </c>
      <c r="Z241" s="8">
        <v>446</v>
      </c>
      <c r="AA241" s="8">
        <v>0</v>
      </c>
    </row>
    <row r="242" ht="36" customHeight="1" spans="1:27">
      <c r="A242" t="s">
        <v>938</v>
      </c>
      <c r="B242" t="str">
        <f>_xlfn.DISPIMG("ID_830D6EAF400143148B227D247FD8A482",1)</f>
        <v>=DISPIMG("ID_830D6EAF400143148B227D247FD8A482",1)</v>
      </c>
      <c r="C242" t="s">
        <v>939</v>
      </c>
      <c r="D242" t="s">
        <v>938</v>
      </c>
      <c r="E242" s="7">
        <v>59.99</v>
      </c>
      <c r="F242" s="7" t="s">
        <v>214</v>
      </c>
      <c r="G242" s="8" t="s">
        <v>940</v>
      </c>
      <c r="H242">
        <v>50</v>
      </c>
      <c r="I242" s="8">
        <v>0</v>
      </c>
      <c r="J242" s="9">
        <v>0</v>
      </c>
      <c r="K242">
        <v>0</v>
      </c>
      <c r="L242">
        <v>0</v>
      </c>
      <c r="M242" s="10">
        <v>0</v>
      </c>
      <c r="N242" s="10">
        <v>0</v>
      </c>
      <c r="O242" s="9">
        <v>0</v>
      </c>
      <c r="P242" s="9">
        <v>0</v>
      </c>
      <c r="Q242" s="9">
        <v>0</v>
      </c>
      <c r="R242" t="s">
        <v>95</v>
      </c>
      <c r="S242" s="8">
        <v>70</v>
      </c>
      <c r="T242" t="s">
        <v>330</v>
      </c>
      <c r="U242" t="s">
        <v>941</v>
      </c>
      <c r="V242" s="8" t="s">
        <v>97</v>
      </c>
      <c r="W242" t="s">
        <v>97</v>
      </c>
      <c r="X242" t="s">
        <v>97</v>
      </c>
      <c r="Y242" s="8">
        <v>426</v>
      </c>
      <c r="Z242" s="8">
        <v>426</v>
      </c>
      <c r="AA242" s="8">
        <v>0</v>
      </c>
    </row>
    <row r="243" ht="36" customHeight="1" spans="1:27">
      <c r="A243" t="s">
        <v>942</v>
      </c>
      <c r="B243" t="str">
        <f>_xlfn.DISPIMG("ID_E3E9C799190142ACA286C7F89CB7D544",1)</f>
        <v>=DISPIMG("ID_E3E9C799190142ACA286C7F89CB7D544",1)</v>
      </c>
      <c r="C243" t="s">
        <v>943</v>
      </c>
      <c r="D243" t="s">
        <v>942</v>
      </c>
      <c r="E243" s="7">
        <v>45.99</v>
      </c>
      <c r="F243" s="7" t="s">
        <v>115</v>
      </c>
      <c r="G243" s="8" t="s">
        <v>139</v>
      </c>
      <c r="H243">
        <v>0</v>
      </c>
      <c r="I243" s="8">
        <v>0</v>
      </c>
      <c r="J243" s="9">
        <v>0</v>
      </c>
      <c r="K243">
        <v>0</v>
      </c>
      <c r="L243">
        <v>0</v>
      </c>
      <c r="M243" s="10">
        <v>0</v>
      </c>
      <c r="N243" s="10">
        <v>0</v>
      </c>
      <c r="O243" s="9">
        <v>0</v>
      </c>
      <c r="P243" s="9">
        <v>0</v>
      </c>
      <c r="Q243" s="9">
        <v>0</v>
      </c>
      <c r="R243" t="s">
        <v>606</v>
      </c>
      <c r="S243" s="8" t="s">
        <v>97</v>
      </c>
      <c r="T243" t="s">
        <v>97</v>
      </c>
      <c r="U243" t="s">
        <v>97</v>
      </c>
      <c r="V243" s="8">
        <v>12</v>
      </c>
      <c r="W243" t="s">
        <v>76</v>
      </c>
      <c r="X243" t="s">
        <v>944</v>
      </c>
      <c r="Y243" s="8">
        <v>161</v>
      </c>
      <c r="Z243" s="8">
        <v>7</v>
      </c>
      <c r="AA243" s="8">
        <v>154</v>
      </c>
    </row>
    <row r="244" ht="36" customHeight="1" spans="1:27">
      <c r="A244" t="s">
        <v>945</v>
      </c>
      <c r="B244" t="str">
        <f>_xlfn.DISPIMG("ID_18AB75715BBC4EA4BFF469FD7AF1BC10",1)</f>
        <v>=DISPIMG("ID_18AB75715BBC4EA4BFF469FD7AF1BC10",1)</v>
      </c>
      <c r="C244" t="s">
        <v>946</v>
      </c>
      <c r="D244" t="s">
        <v>945</v>
      </c>
      <c r="E244" s="7">
        <v>95</v>
      </c>
      <c r="F244" s="7" t="s">
        <v>27</v>
      </c>
      <c r="G244" s="8" t="s">
        <v>947</v>
      </c>
      <c r="H244">
        <v>100</v>
      </c>
      <c r="I244" s="8">
        <v>0</v>
      </c>
      <c r="J244" s="9">
        <v>0</v>
      </c>
      <c r="K244">
        <v>0</v>
      </c>
      <c r="L244">
        <v>0</v>
      </c>
      <c r="M244" s="10">
        <v>0</v>
      </c>
      <c r="N244" s="10">
        <v>0</v>
      </c>
      <c r="O244" s="9">
        <v>0</v>
      </c>
      <c r="P244" s="9">
        <v>0</v>
      </c>
      <c r="Q244" s="9">
        <v>0</v>
      </c>
      <c r="R244" t="s">
        <v>38</v>
      </c>
      <c r="S244" s="8">
        <v>110</v>
      </c>
      <c r="T244" t="s">
        <v>948</v>
      </c>
      <c r="U244" t="s">
        <v>934</v>
      </c>
      <c r="V244" s="8">
        <v>14</v>
      </c>
      <c r="W244" t="s">
        <v>174</v>
      </c>
      <c r="X244" t="s">
        <v>179</v>
      </c>
      <c r="Y244" s="8">
        <v>178</v>
      </c>
      <c r="Z244" s="8">
        <v>178</v>
      </c>
      <c r="AA244" s="8">
        <v>0</v>
      </c>
    </row>
    <row r="245" ht="36" customHeight="1" spans="1:27">
      <c r="A245" t="s">
        <v>949</v>
      </c>
      <c r="B245" t="str">
        <f>_xlfn.DISPIMG("ID_4D74B5C6CE2842668B72B72051167C46",1)</f>
        <v>=DISPIMG("ID_4D74B5C6CE2842668B72B72051167C46",1)</v>
      </c>
      <c r="C245" t="s">
        <v>950</v>
      </c>
      <c r="D245" t="s">
        <v>949</v>
      </c>
      <c r="E245" s="7">
        <v>179.99</v>
      </c>
      <c r="F245" s="7" t="s">
        <v>191</v>
      </c>
      <c r="G245" s="8" t="s">
        <v>380</v>
      </c>
      <c r="H245">
        <v>0</v>
      </c>
      <c r="I245" s="8">
        <v>0</v>
      </c>
      <c r="J245" s="9">
        <v>0</v>
      </c>
      <c r="K245">
        <v>0</v>
      </c>
      <c r="L245">
        <v>0</v>
      </c>
      <c r="M245" s="10">
        <v>0</v>
      </c>
      <c r="N245" s="10">
        <v>0</v>
      </c>
      <c r="O245" s="9">
        <v>0</v>
      </c>
      <c r="P245" s="9">
        <v>0</v>
      </c>
      <c r="Q245" s="9">
        <v>0</v>
      </c>
      <c r="R245" t="s">
        <v>439</v>
      </c>
      <c r="S245" s="8" t="s">
        <v>97</v>
      </c>
      <c r="T245" t="s">
        <v>97</v>
      </c>
      <c r="U245" t="s">
        <v>97</v>
      </c>
      <c r="V245" s="8">
        <v>12</v>
      </c>
      <c r="W245" t="s">
        <v>76</v>
      </c>
      <c r="X245" t="s">
        <v>951</v>
      </c>
      <c r="Y245" s="8">
        <v>314</v>
      </c>
      <c r="Z245" s="8">
        <v>101</v>
      </c>
      <c r="AA245" s="8">
        <v>213</v>
      </c>
    </row>
    <row r="246" ht="36" customHeight="1" spans="1:27">
      <c r="A246" t="s">
        <v>952</v>
      </c>
      <c r="B246" t="str">
        <f>_xlfn.DISPIMG("ID_FF22BF23E38A499C9F2E59B5050F8AAC",1)</f>
        <v>=DISPIMG("ID_FF22BF23E38A499C9F2E59B5050F8AAC",1)</v>
      </c>
      <c r="C246" t="s">
        <v>448</v>
      </c>
      <c r="D246" t="s">
        <v>952</v>
      </c>
      <c r="E246" s="7">
        <v>152.99</v>
      </c>
      <c r="F246" s="7" t="s">
        <v>36</v>
      </c>
      <c r="G246" s="8" t="s">
        <v>940</v>
      </c>
      <c r="H246">
        <v>50</v>
      </c>
      <c r="I246" s="8">
        <v>0</v>
      </c>
      <c r="J246" s="9">
        <v>0</v>
      </c>
      <c r="K246">
        <v>0</v>
      </c>
      <c r="L246">
        <v>0</v>
      </c>
      <c r="M246" s="10">
        <v>0</v>
      </c>
      <c r="N246" s="10">
        <v>0</v>
      </c>
      <c r="O246" s="9">
        <v>0</v>
      </c>
      <c r="P246" s="9">
        <v>0</v>
      </c>
      <c r="Q246" s="9">
        <v>0</v>
      </c>
      <c r="R246" t="s">
        <v>953</v>
      </c>
      <c r="S246" s="8">
        <v>139</v>
      </c>
      <c r="T246" t="s">
        <v>276</v>
      </c>
      <c r="U246" t="s">
        <v>954</v>
      </c>
      <c r="V246" s="8" t="s">
        <v>97</v>
      </c>
      <c r="W246" t="s">
        <v>97</v>
      </c>
      <c r="X246" t="s">
        <v>97</v>
      </c>
      <c r="Y246" s="8">
        <v>730</v>
      </c>
      <c r="Z246" s="8">
        <v>730</v>
      </c>
      <c r="AA246" s="8">
        <v>0</v>
      </c>
    </row>
    <row r="247" ht="36" customHeight="1" spans="1:27">
      <c r="A247" t="s">
        <v>955</v>
      </c>
      <c r="B247" t="str">
        <f>_xlfn.DISPIMG("ID_AA6AAFFE59D342DB9181131E561E28C1",1)</f>
        <v>=DISPIMG("ID_AA6AAFFE59D342DB9181131E561E28C1",1)</v>
      </c>
      <c r="C247" t="s">
        <v>956</v>
      </c>
      <c r="D247" t="s">
        <v>955</v>
      </c>
      <c r="E247" s="7">
        <v>69.99</v>
      </c>
      <c r="F247" s="7" t="s">
        <v>115</v>
      </c>
      <c r="G247" s="8" t="s">
        <v>317</v>
      </c>
      <c r="H247">
        <v>0</v>
      </c>
      <c r="I247" s="8">
        <v>0</v>
      </c>
      <c r="J247" s="9">
        <v>0</v>
      </c>
      <c r="K247">
        <v>0</v>
      </c>
      <c r="L247">
        <v>0</v>
      </c>
      <c r="M247" s="10">
        <v>0</v>
      </c>
      <c r="N247" s="10">
        <v>0</v>
      </c>
      <c r="O247" s="9">
        <v>0</v>
      </c>
      <c r="P247" s="9">
        <v>0</v>
      </c>
      <c r="Q247" s="9">
        <v>0</v>
      </c>
      <c r="R247" t="s">
        <v>606</v>
      </c>
      <c r="S247" s="8" t="s">
        <v>97</v>
      </c>
      <c r="T247" t="s">
        <v>97</v>
      </c>
      <c r="U247" t="s">
        <v>97</v>
      </c>
      <c r="V247" s="8">
        <v>13</v>
      </c>
      <c r="W247" t="s">
        <v>390</v>
      </c>
      <c r="X247" t="s">
        <v>957</v>
      </c>
      <c r="Y247" s="8">
        <v>9</v>
      </c>
      <c r="Z247" s="8">
        <v>7</v>
      </c>
      <c r="AA247" s="8">
        <v>2</v>
      </c>
    </row>
    <row r="248" ht="36" customHeight="1" spans="1:27">
      <c r="A248" t="s">
        <v>958</v>
      </c>
      <c r="B248" t="str">
        <f>_xlfn.DISPIMG("ID_DBC7637D11434ED1B3ADED7C22ADFC82",1)</f>
        <v>=DISPIMG("ID_DBC7637D11434ED1B3ADED7C22ADFC82",1)</v>
      </c>
      <c r="C248" t="s">
        <v>959</v>
      </c>
      <c r="D248" t="s">
        <v>958</v>
      </c>
      <c r="E248" s="7">
        <v>109.99</v>
      </c>
      <c r="F248" s="7" t="s">
        <v>115</v>
      </c>
      <c r="G248" s="8" t="s">
        <v>100</v>
      </c>
      <c r="H248">
        <v>50</v>
      </c>
      <c r="I248" s="8">
        <v>0</v>
      </c>
      <c r="J248" s="9">
        <v>0</v>
      </c>
      <c r="K248">
        <v>0</v>
      </c>
      <c r="L248">
        <v>0</v>
      </c>
      <c r="M248" s="10">
        <v>0</v>
      </c>
      <c r="N248" s="10">
        <v>0</v>
      </c>
      <c r="O248" s="9">
        <v>0</v>
      </c>
      <c r="P248" s="9">
        <v>0</v>
      </c>
      <c r="Q248" s="9">
        <v>0</v>
      </c>
      <c r="R248" t="s">
        <v>658</v>
      </c>
      <c r="S248" s="8" t="s">
        <v>97</v>
      </c>
      <c r="T248" t="s">
        <v>97</v>
      </c>
      <c r="U248" t="s">
        <v>97</v>
      </c>
      <c r="V248" s="8" t="s">
        <v>97</v>
      </c>
      <c r="W248" t="s">
        <v>97</v>
      </c>
      <c r="X248" t="s">
        <v>97</v>
      </c>
      <c r="Y248" s="8">
        <v>101</v>
      </c>
      <c r="Z248" s="8">
        <v>15</v>
      </c>
      <c r="AA248" s="8">
        <v>86</v>
      </c>
    </row>
    <row r="249" ht="36" customHeight="1" spans="1:27">
      <c r="A249" t="s">
        <v>960</v>
      </c>
      <c r="B249" t="str">
        <f>_xlfn.DISPIMG("ID_869B2195BDD1440D8700E0AC9C5055DB",1)</f>
        <v>=DISPIMG("ID_869B2195BDD1440D8700E0AC9C5055DB",1)</v>
      </c>
      <c r="C249" t="s">
        <v>961</v>
      </c>
      <c r="D249" t="s">
        <v>960</v>
      </c>
      <c r="E249" s="7">
        <v>79.98</v>
      </c>
      <c r="F249" s="7" t="s">
        <v>87</v>
      </c>
      <c r="G249" s="8" t="s">
        <v>679</v>
      </c>
      <c r="H249">
        <v>50</v>
      </c>
      <c r="I249" s="8">
        <v>0</v>
      </c>
      <c r="J249" s="9">
        <v>0</v>
      </c>
      <c r="K249">
        <v>0</v>
      </c>
      <c r="L249">
        <v>0</v>
      </c>
      <c r="M249" s="10">
        <v>0</v>
      </c>
      <c r="N249" s="10">
        <v>0</v>
      </c>
      <c r="O249" s="9">
        <v>0</v>
      </c>
      <c r="P249" s="9">
        <v>0</v>
      </c>
      <c r="Q249" s="9">
        <v>0</v>
      </c>
      <c r="R249" t="s">
        <v>439</v>
      </c>
      <c r="S249" s="8" t="s">
        <v>97</v>
      </c>
      <c r="T249" t="s">
        <v>97</v>
      </c>
      <c r="U249" t="s">
        <v>97</v>
      </c>
      <c r="V249" s="8">
        <v>3</v>
      </c>
      <c r="W249" t="s">
        <v>56</v>
      </c>
      <c r="X249" t="s">
        <v>533</v>
      </c>
      <c r="Y249" s="8">
        <v>24</v>
      </c>
      <c r="Z249" s="8">
        <v>24</v>
      </c>
      <c r="AA249" s="8">
        <v>0</v>
      </c>
    </row>
    <row r="250" ht="36" customHeight="1" spans="1:27">
      <c r="A250" t="s">
        <v>962</v>
      </c>
      <c r="B250" t="str">
        <f>_xlfn.DISPIMG("ID_99AFD1097DFE4EBD8DA00507AE221DFF",1)</f>
        <v>=DISPIMG("ID_99AFD1097DFE4EBD8DA00507AE221DFF",1)</v>
      </c>
      <c r="C250" t="s">
        <v>963</v>
      </c>
      <c r="D250" t="s">
        <v>962</v>
      </c>
      <c r="E250" s="7">
        <v>99.99</v>
      </c>
      <c r="F250" s="7" t="s">
        <v>257</v>
      </c>
      <c r="G250" s="8" t="s">
        <v>115</v>
      </c>
      <c r="H250">
        <v>0</v>
      </c>
      <c r="I250" s="8">
        <v>0</v>
      </c>
      <c r="J250" s="9">
        <v>0</v>
      </c>
      <c r="K250">
        <v>0</v>
      </c>
      <c r="L250">
        <v>0</v>
      </c>
      <c r="M250" s="10">
        <v>0</v>
      </c>
      <c r="N250" s="10">
        <v>0</v>
      </c>
      <c r="O250" s="9">
        <v>0</v>
      </c>
      <c r="P250" s="9">
        <v>0</v>
      </c>
      <c r="Q250" s="9">
        <v>0</v>
      </c>
      <c r="R250" t="s">
        <v>606</v>
      </c>
      <c r="S250" s="8" t="s">
        <v>97</v>
      </c>
      <c r="T250" t="s">
        <v>97</v>
      </c>
      <c r="U250" t="s">
        <v>97</v>
      </c>
      <c r="V250" s="8">
        <v>15</v>
      </c>
      <c r="W250" t="s">
        <v>69</v>
      </c>
      <c r="X250" t="s">
        <v>305</v>
      </c>
      <c r="Y250" s="8">
        <v>9</v>
      </c>
      <c r="Z250" s="8">
        <v>9</v>
      </c>
      <c r="AA250" s="8">
        <v>0</v>
      </c>
    </row>
    <row r="251" ht="36" customHeight="1" spans="1:27">
      <c r="A251" t="s">
        <v>964</v>
      </c>
      <c r="B251" t="str">
        <f>_xlfn.DISPIMG("ID_9D9433A4526E45FDA1DB403D00D226C0",1)</f>
        <v>=DISPIMG("ID_9D9433A4526E45FDA1DB403D00D226C0",1)</v>
      </c>
      <c r="C251" t="s">
        <v>965</v>
      </c>
      <c r="D251" t="s">
        <v>964</v>
      </c>
      <c r="E251" s="7">
        <v>52.99</v>
      </c>
      <c r="F251" s="7" t="s">
        <v>65</v>
      </c>
      <c r="G251" s="8" t="s">
        <v>115</v>
      </c>
      <c r="H251">
        <v>0</v>
      </c>
      <c r="I251" s="8">
        <v>0</v>
      </c>
      <c r="J251" s="9">
        <v>0</v>
      </c>
      <c r="K251">
        <v>0</v>
      </c>
      <c r="L251">
        <v>0</v>
      </c>
      <c r="M251" s="10">
        <v>0</v>
      </c>
      <c r="N251" s="10">
        <v>0</v>
      </c>
      <c r="O251" s="9">
        <v>0</v>
      </c>
      <c r="P251" s="9">
        <v>0</v>
      </c>
      <c r="Q251" s="9">
        <v>0</v>
      </c>
      <c r="R251" t="s">
        <v>95</v>
      </c>
      <c r="S251" s="8">
        <v>131</v>
      </c>
      <c r="T251" t="s">
        <v>599</v>
      </c>
      <c r="U251" t="s">
        <v>966</v>
      </c>
      <c r="V251" s="8" t="s">
        <v>97</v>
      </c>
      <c r="W251" t="s">
        <v>97</v>
      </c>
      <c r="X251" t="s">
        <v>97</v>
      </c>
      <c r="Y251" s="8">
        <v>41</v>
      </c>
      <c r="Z251" s="8">
        <v>5</v>
      </c>
      <c r="AA251" s="8">
        <v>36</v>
      </c>
    </row>
    <row r="252" ht="36" customHeight="1" spans="1:27">
      <c r="A252" t="s">
        <v>967</v>
      </c>
      <c r="B252" t="str">
        <f>_xlfn.DISPIMG("ID_A99B81BAB3B74F6B8FD5883F215ED00E",1)</f>
        <v>=DISPIMG("ID_A99B81BAB3B74F6B8FD5883F215ED00E",1)</v>
      </c>
      <c r="C252" t="s">
        <v>968</v>
      </c>
      <c r="D252" t="s">
        <v>967</v>
      </c>
      <c r="E252" s="7">
        <v>59.99</v>
      </c>
      <c r="F252" s="7" t="s">
        <v>969</v>
      </c>
      <c r="G252" s="8" t="s">
        <v>350</v>
      </c>
      <c r="H252">
        <v>0</v>
      </c>
      <c r="I252" s="8">
        <v>0</v>
      </c>
      <c r="J252" s="9">
        <v>0</v>
      </c>
      <c r="K252">
        <v>0</v>
      </c>
      <c r="L252">
        <v>0</v>
      </c>
      <c r="M252" s="10">
        <v>0</v>
      </c>
      <c r="N252" s="10">
        <v>0</v>
      </c>
      <c r="O252" s="9">
        <v>0</v>
      </c>
      <c r="P252" s="9">
        <v>0</v>
      </c>
      <c r="Q252" s="9">
        <v>0</v>
      </c>
      <c r="R252" t="s">
        <v>95</v>
      </c>
      <c r="S252" s="8">
        <v>54</v>
      </c>
      <c r="T252" t="s">
        <v>293</v>
      </c>
      <c r="U252" t="s">
        <v>970</v>
      </c>
      <c r="V252" s="8" t="s">
        <v>97</v>
      </c>
      <c r="W252" t="s">
        <v>97</v>
      </c>
      <c r="X252" t="s">
        <v>97</v>
      </c>
      <c r="Y252" s="8">
        <v>563</v>
      </c>
      <c r="Z252" s="8">
        <v>563</v>
      </c>
      <c r="AA252" s="8">
        <v>0</v>
      </c>
    </row>
    <row r="253" ht="36" customHeight="1" spans="1:27">
      <c r="A253" t="s">
        <v>971</v>
      </c>
      <c r="B253" t="str">
        <f>_xlfn.DISPIMG("ID_376AA60E7EA4482CA6AB77BD70AB763F",1)</f>
        <v>=DISPIMG("ID_376AA60E7EA4482CA6AB77BD70AB763F",1)</v>
      </c>
      <c r="C253" t="s">
        <v>821</v>
      </c>
      <c r="D253" t="s">
        <v>971</v>
      </c>
      <c r="E253" s="7">
        <v>79.99</v>
      </c>
      <c r="F253" s="7" t="s">
        <v>191</v>
      </c>
      <c r="G253" s="8" t="s">
        <v>822</v>
      </c>
      <c r="H253">
        <v>0</v>
      </c>
      <c r="I253" s="8">
        <v>0</v>
      </c>
      <c r="J253" s="9">
        <v>0</v>
      </c>
      <c r="K253">
        <v>0</v>
      </c>
      <c r="L253">
        <v>0</v>
      </c>
      <c r="M253" s="10">
        <v>0</v>
      </c>
      <c r="N253" s="10">
        <v>0</v>
      </c>
      <c r="O253" s="9">
        <v>0</v>
      </c>
      <c r="P253" s="9">
        <v>0</v>
      </c>
      <c r="Q253" s="9">
        <v>0</v>
      </c>
      <c r="R253" t="s">
        <v>590</v>
      </c>
      <c r="S253" s="8" t="s">
        <v>97</v>
      </c>
      <c r="T253" t="s">
        <v>97</v>
      </c>
      <c r="U253" t="s">
        <v>97</v>
      </c>
      <c r="V253" s="8" t="s">
        <v>97</v>
      </c>
      <c r="W253" t="s">
        <v>97</v>
      </c>
      <c r="X253" t="s">
        <v>97</v>
      </c>
      <c r="Y253" s="8">
        <v>149</v>
      </c>
      <c r="Z253" s="8">
        <v>17</v>
      </c>
      <c r="AA253" s="8">
        <v>132</v>
      </c>
    </row>
    <row r="254" ht="36" customHeight="1" spans="1:27">
      <c r="A254" t="s">
        <v>972</v>
      </c>
      <c r="B254" t="str">
        <f>_xlfn.DISPIMG("ID_B25E31A153C448DE897155468702BF61",1)</f>
        <v>=DISPIMG("ID_B25E31A153C448DE897155468702BF61",1)</v>
      </c>
      <c r="C254" t="s">
        <v>973</v>
      </c>
      <c r="D254" t="s">
        <v>972</v>
      </c>
      <c r="E254" s="7">
        <v>129.99</v>
      </c>
      <c r="F254" s="7" t="s">
        <v>36</v>
      </c>
      <c r="G254" s="8" t="s">
        <v>501</v>
      </c>
      <c r="H254">
        <v>0</v>
      </c>
      <c r="I254" s="8">
        <v>0</v>
      </c>
      <c r="J254" s="9">
        <v>0</v>
      </c>
      <c r="K254">
        <v>0</v>
      </c>
      <c r="L254">
        <v>0</v>
      </c>
      <c r="M254" s="10">
        <v>0</v>
      </c>
      <c r="N254" s="10">
        <v>0</v>
      </c>
      <c r="O254" s="9">
        <v>0</v>
      </c>
      <c r="P254" s="9">
        <v>0</v>
      </c>
      <c r="Q254" s="9">
        <v>0</v>
      </c>
      <c r="R254" t="s">
        <v>606</v>
      </c>
      <c r="S254" s="8" t="s">
        <v>97</v>
      </c>
      <c r="T254" t="s">
        <v>97</v>
      </c>
      <c r="U254" t="s">
        <v>97</v>
      </c>
      <c r="V254" s="8">
        <v>16</v>
      </c>
      <c r="W254" t="s">
        <v>32</v>
      </c>
      <c r="X254" t="s">
        <v>974</v>
      </c>
      <c r="Y254" s="8">
        <v>98</v>
      </c>
      <c r="Z254" s="8">
        <v>55</v>
      </c>
      <c r="AA254" s="8">
        <v>43</v>
      </c>
    </row>
    <row r="255" ht="36" customHeight="1" spans="1:27">
      <c r="A255" t="s">
        <v>975</v>
      </c>
      <c r="B255" t="str">
        <f>_xlfn.DISPIMG("ID_D814892BFA3A459DBEFAA7A03A4FC48C",1)</f>
        <v>=DISPIMG("ID_D814892BFA3A459DBEFAA7A03A4FC48C",1)</v>
      </c>
      <c r="C255" t="s">
        <v>976</v>
      </c>
      <c r="D255" t="s">
        <v>975</v>
      </c>
      <c r="E255" s="7">
        <v>47.99</v>
      </c>
      <c r="F255" s="7" t="s">
        <v>195</v>
      </c>
      <c r="G255" s="8" t="s">
        <v>108</v>
      </c>
      <c r="H255">
        <v>100</v>
      </c>
      <c r="I255" s="8">
        <v>0</v>
      </c>
      <c r="J255" s="9">
        <v>0</v>
      </c>
      <c r="K255">
        <v>0</v>
      </c>
      <c r="L255">
        <v>0</v>
      </c>
      <c r="M255" s="10">
        <v>0</v>
      </c>
      <c r="N255" s="10">
        <v>0</v>
      </c>
      <c r="O255" s="9">
        <v>0</v>
      </c>
      <c r="P255" s="9">
        <v>0</v>
      </c>
      <c r="Q255" s="9">
        <v>0</v>
      </c>
      <c r="R255" t="s">
        <v>95</v>
      </c>
      <c r="S255" s="8">
        <v>35</v>
      </c>
      <c r="T255" t="s">
        <v>183</v>
      </c>
      <c r="U255" t="s">
        <v>977</v>
      </c>
      <c r="V255" s="8" t="s">
        <v>97</v>
      </c>
      <c r="W255" t="s">
        <v>97</v>
      </c>
      <c r="X255" t="s">
        <v>97</v>
      </c>
      <c r="Y255" s="8">
        <v>60</v>
      </c>
      <c r="Z255" s="8">
        <v>60</v>
      </c>
      <c r="AA255" s="8">
        <v>0</v>
      </c>
    </row>
    <row r="256" ht="36" customHeight="1" spans="1:27">
      <c r="A256" t="s">
        <v>978</v>
      </c>
      <c r="B256" t="str">
        <f>_xlfn.DISPIMG("ID_4650BCC90E5643D2840BDBF59BA9B334",1)</f>
        <v>=DISPIMG("ID_4650BCC90E5643D2840BDBF59BA9B334",1)</v>
      </c>
      <c r="C256" t="s">
        <v>979</v>
      </c>
      <c r="D256" t="s">
        <v>978</v>
      </c>
      <c r="E256" s="7">
        <v>638.99</v>
      </c>
      <c r="F256" s="7" t="s">
        <v>317</v>
      </c>
      <c r="G256" s="8" t="s">
        <v>317</v>
      </c>
      <c r="H256">
        <v>0</v>
      </c>
      <c r="I256" s="8">
        <v>0</v>
      </c>
      <c r="J256" s="9">
        <v>0</v>
      </c>
      <c r="K256">
        <v>0</v>
      </c>
      <c r="L256">
        <v>0</v>
      </c>
      <c r="M256" s="10">
        <v>0</v>
      </c>
      <c r="N256" s="10">
        <v>0</v>
      </c>
      <c r="O256" s="9">
        <v>0</v>
      </c>
      <c r="P256" s="9">
        <v>0</v>
      </c>
      <c r="Q256" s="9">
        <v>0</v>
      </c>
      <c r="R256" t="s">
        <v>95</v>
      </c>
      <c r="S256" s="8">
        <v>67</v>
      </c>
      <c r="T256" t="s">
        <v>259</v>
      </c>
      <c r="U256" t="s">
        <v>980</v>
      </c>
      <c r="V256" s="8" t="s">
        <v>97</v>
      </c>
      <c r="W256" t="s">
        <v>97</v>
      </c>
      <c r="X256" t="s">
        <v>97</v>
      </c>
      <c r="Y256" s="8">
        <v>256</v>
      </c>
      <c r="Z256" s="8">
        <v>256</v>
      </c>
      <c r="AA256" s="8">
        <v>0</v>
      </c>
    </row>
    <row r="257" ht="36" customHeight="1" spans="1:27">
      <c r="A257" t="s">
        <v>981</v>
      </c>
      <c r="B257" t="str">
        <f>_xlfn.DISPIMG("ID_7D9FB0857CFC4C77BAE280353D1A9410",1)</f>
        <v>=DISPIMG("ID_7D9FB0857CFC4C77BAE280353D1A9410",1)</v>
      </c>
      <c r="C257" t="s">
        <v>982</v>
      </c>
      <c r="D257" t="s">
        <v>981</v>
      </c>
      <c r="E257" s="7">
        <v>39.99</v>
      </c>
      <c r="F257" s="7" t="s">
        <v>214</v>
      </c>
      <c r="G257" s="8" t="s">
        <v>983</v>
      </c>
      <c r="H257">
        <v>100</v>
      </c>
      <c r="I257" s="8">
        <v>0</v>
      </c>
      <c r="J257" s="9">
        <v>0</v>
      </c>
      <c r="K257">
        <v>0</v>
      </c>
      <c r="L257">
        <v>0</v>
      </c>
      <c r="M257" s="10">
        <v>0</v>
      </c>
      <c r="N257" s="10">
        <v>0</v>
      </c>
      <c r="O257" s="9">
        <v>0</v>
      </c>
      <c r="P257" s="9">
        <v>0</v>
      </c>
      <c r="Q257" s="9">
        <v>0</v>
      </c>
      <c r="R257" t="s">
        <v>95</v>
      </c>
      <c r="S257" s="8">
        <v>58</v>
      </c>
      <c r="T257" t="s">
        <v>346</v>
      </c>
      <c r="U257" t="s">
        <v>984</v>
      </c>
      <c r="V257" s="8" t="s">
        <v>97</v>
      </c>
      <c r="W257" t="s">
        <v>97</v>
      </c>
      <c r="X257" t="s">
        <v>97</v>
      </c>
      <c r="Y257" s="8">
        <v>142</v>
      </c>
      <c r="Z257" s="8">
        <v>142</v>
      </c>
      <c r="AA257" s="8">
        <v>0</v>
      </c>
    </row>
    <row r="258" ht="36" customHeight="1" spans="1:27">
      <c r="A258" t="s">
        <v>985</v>
      </c>
      <c r="B258" t="str">
        <f>_xlfn.DISPIMG("ID_DC6BC935D5D741989F4D7DF24E593DDF",1)</f>
        <v>=DISPIMG("ID_DC6BC935D5D741989F4D7DF24E593DDF",1)</v>
      </c>
      <c r="C258" t="s">
        <v>986</v>
      </c>
      <c r="D258" t="s">
        <v>985</v>
      </c>
      <c r="E258" s="7">
        <v>75.98</v>
      </c>
      <c r="F258" s="7" t="s">
        <v>115</v>
      </c>
      <c r="G258" s="8" t="s">
        <v>376</v>
      </c>
      <c r="H258">
        <v>50</v>
      </c>
      <c r="I258" s="8">
        <v>0</v>
      </c>
      <c r="J258" s="9">
        <v>0</v>
      </c>
      <c r="K258">
        <v>0</v>
      </c>
      <c r="L258">
        <v>0</v>
      </c>
      <c r="M258" s="10">
        <v>0</v>
      </c>
      <c r="N258" s="10">
        <v>0</v>
      </c>
      <c r="O258" s="9">
        <v>0</v>
      </c>
      <c r="P258" s="9">
        <v>0</v>
      </c>
      <c r="Q258" s="9">
        <v>0</v>
      </c>
      <c r="R258" t="s">
        <v>606</v>
      </c>
      <c r="S258" s="8" t="s">
        <v>97</v>
      </c>
      <c r="T258" t="s">
        <v>97</v>
      </c>
      <c r="U258" t="s">
        <v>97</v>
      </c>
      <c r="V258" s="8">
        <v>8</v>
      </c>
      <c r="W258" t="s">
        <v>147</v>
      </c>
      <c r="X258" t="s">
        <v>987</v>
      </c>
      <c r="Y258" s="8">
        <v>148</v>
      </c>
      <c r="Z258" s="8">
        <v>129</v>
      </c>
      <c r="AA258" s="8">
        <v>19</v>
      </c>
    </row>
    <row r="259" ht="36" customHeight="1" spans="1:27">
      <c r="A259" t="s">
        <v>988</v>
      </c>
      <c r="B259" t="str">
        <f>_xlfn.DISPIMG("ID_7720304579504952B50E8115366CA94B",1)</f>
        <v>=DISPIMG("ID_7720304579504952B50E8115366CA94B",1)</v>
      </c>
      <c r="C259" t="s">
        <v>989</v>
      </c>
      <c r="D259" t="s">
        <v>988</v>
      </c>
      <c r="E259" s="7">
        <v>159.5</v>
      </c>
      <c r="F259" s="7" t="s">
        <v>36</v>
      </c>
      <c r="G259" s="8" t="s">
        <v>501</v>
      </c>
      <c r="H259">
        <v>0</v>
      </c>
      <c r="I259" s="8">
        <v>0</v>
      </c>
      <c r="J259" s="9">
        <v>0</v>
      </c>
      <c r="K259">
        <v>0</v>
      </c>
      <c r="L259">
        <v>0</v>
      </c>
      <c r="M259" s="10">
        <v>0</v>
      </c>
      <c r="N259" s="10">
        <v>0</v>
      </c>
      <c r="O259" s="9">
        <v>0</v>
      </c>
      <c r="P259" s="9">
        <v>0</v>
      </c>
      <c r="Q259" s="9">
        <v>0</v>
      </c>
      <c r="R259" t="s">
        <v>152</v>
      </c>
      <c r="S259" s="8">
        <v>143</v>
      </c>
      <c r="T259" t="s">
        <v>513</v>
      </c>
      <c r="U259" t="s">
        <v>990</v>
      </c>
      <c r="V259" s="8">
        <v>8</v>
      </c>
      <c r="W259" t="s">
        <v>147</v>
      </c>
      <c r="X259" t="s">
        <v>991</v>
      </c>
      <c r="Y259" s="8">
        <v>198</v>
      </c>
      <c r="Z259" s="8">
        <v>149</v>
      </c>
      <c r="AA259" s="8">
        <v>49</v>
      </c>
    </row>
    <row r="260" ht="36" customHeight="1" spans="1:27">
      <c r="A260" t="s">
        <v>992</v>
      </c>
      <c r="B260" t="str">
        <f>_xlfn.DISPIMG("ID_FE5B16BDCFC64877810A2D72348CE39C",1)</f>
        <v>=DISPIMG("ID_FE5B16BDCFC64877810A2D72348CE39C",1)</v>
      </c>
      <c r="C260" t="s">
        <v>993</v>
      </c>
      <c r="D260" t="s">
        <v>992</v>
      </c>
      <c r="E260" s="7">
        <v>59.99</v>
      </c>
      <c r="F260" s="7" t="s">
        <v>257</v>
      </c>
      <c r="G260" s="8" t="s">
        <v>701</v>
      </c>
      <c r="H260">
        <v>200</v>
      </c>
      <c r="I260" s="8">
        <v>0</v>
      </c>
      <c r="J260" s="9">
        <v>0</v>
      </c>
      <c r="K260">
        <v>0</v>
      </c>
      <c r="L260">
        <v>0</v>
      </c>
      <c r="M260" s="10">
        <v>0</v>
      </c>
      <c r="N260" s="10">
        <v>0</v>
      </c>
      <c r="O260" s="9">
        <v>0</v>
      </c>
      <c r="P260" s="9">
        <v>0</v>
      </c>
      <c r="Q260" s="9">
        <v>0</v>
      </c>
      <c r="R260" t="s">
        <v>95</v>
      </c>
      <c r="S260" s="8">
        <v>144</v>
      </c>
      <c r="T260" t="s">
        <v>994</v>
      </c>
      <c r="U260" t="s">
        <v>915</v>
      </c>
      <c r="V260" s="8" t="s">
        <v>97</v>
      </c>
      <c r="W260" t="s">
        <v>97</v>
      </c>
      <c r="X260" t="s">
        <v>97</v>
      </c>
      <c r="Y260" s="8">
        <v>416</v>
      </c>
      <c r="Z260" s="8">
        <v>416</v>
      </c>
      <c r="AA260" s="8">
        <v>0</v>
      </c>
    </row>
    <row r="261" ht="36" customHeight="1" spans="1:27">
      <c r="A261" t="s">
        <v>995</v>
      </c>
      <c r="B261" t="str">
        <f>_xlfn.DISPIMG("ID_65B65DB0384B4FC0A7E2EEF5117EE010",1)</f>
        <v>=DISPIMG("ID_65B65DB0384B4FC0A7E2EEF5117EE010",1)</v>
      </c>
      <c r="C261" t="s">
        <v>996</v>
      </c>
      <c r="D261" t="s">
        <v>995</v>
      </c>
      <c r="E261" s="7">
        <v>42.99</v>
      </c>
      <c r="F261" s="7" t="s">
        <v>100</v>
      </c>
      <c r="G261" s="8" t="s">
        <v>253</v>
      </c>
      <c r="H261">
        <v>0</v>
      </c>
      <c r="I261" s="8">
        <v>0</v>
      </c>
      <c r="J261" s="9">
        <v>0</v>
      </c>
      <c r="K261">
        <v>0</v>
      </c>
      <c r="L261">
        <v>0</v>
      </c>
      <c r="M261" s="10">
        <v>0</v>
      </c>
      <c r="N261" s="10">
        <v>0</v>
      </c>
      <c r="O261" s="9">
        <v>0</v>
      </c>
      <c r="P261" s="9">
        <v>0</v>
      </c>
      <c r="Q261" s="9">
        <v>0</v>
      </c>
      <c r="R261" t="s">
        <v>95</v>
      </c>
      <c r="S261" s="8">
        <v>105</v>
      </c>
      <c r="T261" t="s">
        <v>547</v>
      </c>
      <c r="U261" t="s">
        <v>997</v>
      </c>
      <c r="V261" s="8" t="s">
        <v>97</v>
      </c>
      <c r="W261" t="s">
        <v>97</v>
      </c>
      <c r="X261" t="s">
        <v>97</v>
      </c>
      <c r="Y261" s="8">
        <v>114</v>
      </c>
      <c r="Z261" s="8">
        <v>114</v>
      </c>
      <c r="AA261" s="8">
        <v>0</v>
      </c>
    </row>
    <row r="262" ht="36" customHeight="1" spans="1:27">
      <c r="A262" t="s">
        <v>998</v>
      </c>
      <c r="B262" t="str">
        <f>_xlfn.DISPIMG("ID_B63E676ABCA3432B89642607FBA6B06B",1)</f>
        <v>=DISPIMG("ID_B63E676ABCA3432B89642607FBA6B06B",1)</v>
      </c>
      <c r="C262" t="s">
        <v>999</v>
      </c>
      <c r="D262" t="s">
        <v>998</v>
      </c>
      <c r="E262" s="7">
        <v>89.99</v>
      </c>
      <c r="F262" s="7" t="s">
        <v>691</v>
      </c>
      <c r="G262" s="8" t="s">
        <v>376</v>
      </c>
      <c r="H262">
        <v>50</v>
      </c>
      <c r="I262" s="8">
        <v>0</v>
      </c>
      <c r="J262" s="9">
        <v>0</v>
      </c>
      <c r="K262">
        <v>0</v>
      </c>
      <c r="L262">
        <v>0</v>
      </c>
      <c r="M262" s="10">
        <v>0</v>
      </c>
      <c r="N262" s="10">
        <v>0</v>
      </c>
      <c r="O262" s="9">
        <v>0</v>
      </c>
      <c r="P262" s="9">
        <v>0</v>
      </c>
      <c r="Q262" s="9">
        <v>0</v>
      </c>
      <c r="R262" t="s">
        <v>95</v>
      </c>
      <c r="S262" s="8">
        <v>7</v>
      </c>
      <c r="T262" t="s">
        <v>111</v>
      </c>
      <c r="U262" t="s">
        <v>990</v>
      </c>
      <c r="V262" s="8" t="s">
        <v>97</v>
      </c>
      <c r="W262" t="s">
        <v>97</v>
      </c>
      <c r="X262" t="s">
        <v>97</v>
      </c>
      <c r="Y262" s="8">
        <v>57</v>
      </c>
      <c r="Z262" s="8">
        <v>57</v>
      </c>
      <c r="AA262" s="8">
        <v>0</v>
      </c>
    </row>
    <row r="263" ht="36" customHeight="1" spans="1:27">
      <c r="A263" t="s">
        <v>1000</v>
      </c>
      <c r="B263" t="str">
        <f>_xlfn.DISPIMG("ID_9832FAB98B5C434C96271EEEC58E41DF",1)</f>
        <v>=DISPIMG("ID_9832FAB98B5C434C96271EEEC58E41DF",1)</v>
      </c>
      <c r="C263" t="s">
        <v>1001</v>
      </c>
      <c r="D263" t="s">
        <v>1000</v>
      </c>
      <c r="E263" s="7">
        <v>629</v>
      </c>
      <c r="F263" s="7" t="s">
        <v>100</v>
      </c>
      <c r="G263" s="8" t="s">
        <v>1002</v>
      </c>
      <c r="H263">
        <v>50</v>
      </c>
      <c r="I263" s="8">
        <v>0</v>
      </c>
      <c r="J263" s="9">
        <v>0</v>
      </c>
      <c r="K263">
        <v>0</v>
      </c>
      <c r="L263">
        <v>0</v>
      </c>
      <c r="M263" s="10">
        <v>0</v>
      </c>
      <c r="N263" s="10">
        <v>0</v>
      </c>
      <c r="O263" s="9">
        <v>0</v>
      </c>
      <c r="P263" s="9">
        <v>0</v>
      </c>
      <c r="Q263" s="9">
        <v>0</v>
      </c>
      <c r="R263" t="s">
        <v>403</v>
      </c>
      <c r="S263" s="8" t="s">
        <v>97</v>
      </c>
      <c r="T263" t="s">
        <v>97</v>
      </c>
      <c r="U263" t="s">
        <v>97</v>
      </c>
      <c r="V263" s="8">
        <v>9</v>
      </c>
      <c r="W263" t="s">
        <v>547</v>
      </c>
      <c r="X263" t="s">
        <v>1003</v>
      </c>
      <c r="Y263" s="8">
        <v>497</v>
      </c>
      <c r="Z263" s="8">
        <v>394</v>
      </c>
      <c r="AA263" s="8">
        <v>103</v>
      </c>
    </row>
    <row r="264" ht="36" customHeight="1" spans="1:27">
      <c r="A264" t="s">
        <v>1004</v>
      </c>
      <c r="B264" t="str">
        <f>_xlfn.DISPIMG("ID_88109C6E3C2A4E1C8EB2CF2D76761C0B",1)</f>
        <v>=DISPIMG("ID_88109C6E3C2A4E1C8EB2CF2D76761C0B",1)</v>
      </c>
      <c r="C264" t="s">
        <v>1005</v>
      </c>
      <c r="D264" t="s">
        <v>1004</v>
      </c>
      <c r="E264" s="7">
        <v>93.49</v>
      </c>
      <c r="F264" s="7" t="s">
        <v>87</v>
      </c>
      <c r="G264" s="8" t="s">
        <v>88</v>
      </c>
      <c r="H264">
        <v>100</v>
      </c>
      <c r="I264" s="8">
        <v>0</v>
      </c>
      <c r="J264" s="9">
        <v>0</v>
      </c>
      <c r="K264">
        <v>0</v>
      </c>
      <c r="L264">
        <v>0</v>
      </c>
      <c r="M264" s="10">
        <v>0</v>
      </c>
      <c r="N264" s="10">
        <v>0</v>
      </c>
      <c r="O264" s="9">
        <v>0</v>
      </c>
      <c r="P264" s="9">
        <v>0</v>
      </c>
      <c r="Q264" s="9">
        <v>0</v>
      </c>
      <c r="R264" t="s">
        <v>95</v>
      </c>
      <c r="S264" s="8">
        <v>84</v>
      </c>
      <c r="T264" t="s">
        <v>410</v>
      </c>
      <c r="U264" t="s">
        <v>1006</v>
      </c>
      <c r="V264" s="8" t="s">
        <v>97</v>
      </c>
      <c r="W264" t="s">
        <v>97</v>
      </c>
      <c r="X264" t="s">
        <v>97</v>
      </c>
      <c r="Y264" s="8">
        <v>48</v>
      </c>
      <c r="Z264" s="8">
        <v>48</v>
      </c>
      <c r="AA264" s="8">
        <v>0</v>
      </c>
    </row>
    <row r="265" ht="36" customHeight="1" spans="1:27">
      <c r="A265" t="s">
        <v>1007</v>
      </c>
      <c r="B265" t="str">
        <f>_xlfn.DISPIMG("ID_DB41A440EFDD4BAE96F9DB0A3695F62E",1)</f>
        <v>=DISPIMG("ID_DB41A440EFDD4BAE96F9DB0A3695F62E",1)</v>
      </c>
      <c r="C265" t="s">
        <v>1008</v>
      </c>
      <c r="D265" t="s">
        <v>1007</v>
      </c>
      <c r="E265" s="7">
        <v>19</v>
      </c>
      <c r="F265" s="7" t="s">
        <v>36</v>
      </c>
      <c r="G265" s="8" t="s">
        <v>1009</v>
      </c>
      <c r="H265">
        <v>100000</v>
      </c>
      <c r="I265" s="8">
        <v>0</v>
      </c>
      <c r="J265" s="9">
        <v>0</v>
      </c>
      <c r="K265">
        <v>0</v>
      </c>
      <c r="L265">
        <v>0</v>
      </c>
      <c r="M265" s="10">
        <v>0</v>
      </c>
      <c r="N265" s="10">
        <v>0</v>
      </c>
      <c r="O265" s="9">
        <v>0</v>
      </c>
      <c r="P265" s="9">
        <v>0</v>
      </c>
      <c r="Q265" s="9">
        <v>0</v>
      </c>
      <c r="R265" t="s">
        <v>953</v>
      </c>
      <c r="S265" s="8">
        <v>133</v>
      </c>
      <c r="T265" t="s">
        <v>692</v>
      </c>
      <c r="U265" t="s">
        <v>1010</v>
      </c>
      <c r="V265" s="8" t="s">
        <v>97</v>
      </c>
      <c r="W265" t="s">
        <v>97</v>
      </c>
      <c r="X265" t="s">
        <v>97</v>
      </c>
      <c r="Y265" s="8">
        <v>76758</v>
      </c>
      <c r="Z265" s="8">
        <v>48124</v>
      </c>
      <c r="AA265" s="8">
        <v>28634</v>
      </c>
    </row>
    <row r="266" ht="36" customHeight="1" spans="1:27">
      <c r="A266" t="s">
        <v>1011</v>
      </c>
      <c r="B266" t="str">
        <f>_xlfn.DISPIMG("ID_752C6295CA6748BA87DBAC5F4103A1D0",1)</f>
        <v>=DISPIMG("ID_752C6295CA6748BA87DBAC5F4103A1D0",1)</v>
      </c>
      <c r="C266" t="s">
        <v>1012</v>
      </c>
      <c r="D266" t="s">
        <v>1011</v>
      </c>
      <c r="E266" s="7">
        <v>79.99</v>
      </c>
      <c r="F266" s="7" t="s">
        <v>195</v>
      </c>
      <c r="G266" s="8" t="s">
        <v>1013</v>
      </c>
      <c r="H266">
        <v>0</v>
      </c>
      <c r="I266" s="8">
        <v>0</v>
      </c>
      <c r="J266" s="9">
        <v>0</v>
      </c>
      <c r="K266">
        <v>0</v>
      </c>
      <c r="L266">
        <v>0</v>
      </c>
      <c r="M266" s="10">
        <v>0</v>
      </c>
      <c r="N266" s="10">
        <v>0</v>
      </c>
      <c r="O266" s="9">
        <v>0</v>
      </c>
      <c r="P266" s="9">
        <v>0</v>
      </c>
      <c r="Q266" s="9">
        <v>0</v>
      </c>
      <c r="R266" t="s">
        <v>606</v>
      </c>
      <c r="S266" s="8" t="s">
        <v>97</v>
      </c>
      <c r="T266" t="s">
        <v>97</v>
      </c>
      <c r="U266" t="s">
        <v>97</v>
      </c>
      <c r="V266" s="8">
        <v>29</v>
      </c>
      <c r="W266" t="s">
        <v>153</v>
      </c>
      <c r="X266" t="s">
        <v>888</v>
      </c>
      <c r="Y266" s="8">
        <v>253</v>
      </c>
      <c r="Z266" s="8">
        <v>248</v>
      </c>
      <c r="AA266" s="8">
        <v>5</v>
      </c>
    </row>
    <row r="267" ht="36" customHeight="1" spans="1:27">
      <c r="A267" t="s">
        <v>1014</v>
      </c>
      <c r="B267" t="str">
        <f>_xlfn.DISPIMG("ID_E4558C67AD0D4748ACD6E1DB1FA08F22",1)</f>
        <v>=DISPIMG("ID_E4558C67AD0D4748ACD6E1DB1FA08F22",1)</v>
      </c>
      <c r="C267" t="s">
        <v>1015</v>
      </c>
      <c r="D267" t="s">
        <v>1014</v>
      </c>
      <c r="E267" s="7">
        <v>306.5</v>
      </c>
      <c r="F267" s="7" t="s">
        <v>80</v>
      </c>
      <c r="G267" s="8" t="s">
        <v>1016</v>
      </c>
      <c r="H267">
        <v>200</v>
      </c>
      <c r="I267" s="8">
        <v>0</v>
      </c>
      <c r="J267" s="9">
        <v>0</v>
      </c>
      <c r="K267">
        <v>0</v>
      </c>
      <c r="L267">
        <v>0</v>
      </c>
      <c r="M267" s="10">
        <v>0</v>
      </c>
      <c r="N267" s="10">
        <v>0</v>
      </c>
      <c r="O267" s="9">
        <v>0</v>
      </c>
      <c r="P267" s="9">
        <v>0</v>
      </c>
      <c r="Q267" s="9">
        <v>0</v>
      </c>
      <c r="R267" t="s">
        <v>95</v>
      </c>
      <c r="S267" s="8">
        <v>128</v>
      </c>
      <c r="T267" t="s">
        <v>564</v>
      </c>
      <c r="U267" t="s">
        <v>638</v>
      </c>
      <c r="V267" s="8" t="s">
        <v>97</v>
      </c>
      <c r="W267" t="s">
        <v>97</v>
      </c>
      <c r="X267" t="s">
        <v>97</v>
      </c>
      <c r="Y267" s="8">
        <v>965</v>
      </c>
      <c r="Z267" s="8">
        <v>965</v>
      </c>
      <c r="AA267" s="8">
        <v>0</v>
      </c>
    </row>
    <row r="268" ht="36" customHeight="1" spans="1:27">
      <c r="A268" t="s">
        <v>1017</v>
      </c>
      <c r="B268" t="str">
        <f>_xlfn.DISPIMG("ID_AE6583C6344646DBAB686CC1CFE4A1D7",1)</f>
        <v>=DISPIMG("ID_AE6583C6344646DBAB686CC1CFE4A1D7",1)</v>
      </c>
      <c r="C268" t="s">
        <v>1018</v>
      </c>
      <c r="D268" t="s">
        <v>1017</v>
      </c>
      <c r="E268" s="7">
        <v>69.99</v>
      </c>
      <c r="F268" s="7" t="s">
        <v>27</v>
      </c>
      <c r="G268" s="8" t="s">
        <v>372</v>
      </c>
      <c r="H268">
        <v>0</v>
      </c>
      <c r="I268" s="8">
        <v>0</v>
      </c>
      <c r="J268" s="9">
        <v>0</v>
      </c>
      <c r="K268">
        <v>0</v>
      </c>
      <c r="L268">
        <v>0</v>
      </c>
      <c r="M268" s="10">
        <v>0</v>
      </c>
      <c r="N268" s="10">
        <v>0</v>
      </c>
      <c r="O268" s="9">
        <v>0</v>
      </c>
      <c r="P268" s="9">
        <v>0</v>
      </c>
      <c r="Q268" s="9">
        <v>0</v>
      </c>
      <c r="R268" t="s">
        <v>606</v>
      </c>
      <c r="S268" s="8" t="s">
        <v>97</v>
      </c>
      <c r="T268" t="s">
        <v>97</v>
      </c>
      <c r="U268" t="s">
        <v>97</v>
      </c>
      <c r="V268" s="8">
        <v>19</v>
      </c>
      <c r="W268" t="s">
        <v>444</v>
      </c>
      <c r="X268" t="s">
        <v>1019</v>
      </c>
      <c r="Y268" s="8">
        <v>28</v>
      </c>
      <c r="Z268" s="8">
        <v>10</v>
      </c>
      <c r="AA268" s="8">
        <v>18</v>
      </c>
    </row>
    <row r="269" ht="36" customHeight="1" spans="1:27">
      <c r="A269" t="s">
        <v>1020</v>
      </c>
      <c r="B269" t="str">
        <f>_xlfn.DISPIMG("ID_483240C9F01F4A9C9D45D502AAA4FD9D",1)</f>
        <v>=DISPIMG("ID_483240C9F01F4A9C9D45D502AAA4FD9D",1)</v>
      </c>
      <c r="C269" t="s">
        <v>1021</v>
      </c>
      <c r="D269" t="s">
        <v>1020</v>
      </c>
      <c r="E269" s="7">
        <v>80.99</v>
      </c>
      <c r="F269" s="7" t="s">
        <v>195</v>
      </c>
      <c r="G269" s="8" t="s">
        <v>679</v>
      </c>
      <c r="H269">
        <v>400</v>
      </c>
      <c r="I269" s="8">
        <v>0</v>
      </c>
      <c r="J269" s="9">
        <v>0</v>
      </c>
      <c r="K269">
        <v>0</v>
      </c>
      <c r="L269">
        <v>0</v>
      </c>
      <c r="M269" s="10">
        <v>0</v>
      </c>
      <c r="N269" s="10">
        <v>0</v>
      </c>
      <c r="O269" s="9">
        <v>0</v>
      </c>
      <c r="P269" s="9">
        <v>0</v>
      </c>
      <c r="Q269" s="9">
        <v>0</v>
      </c>
      <c r="R269" t="s">
        <v>95</v>
      </c>
      <c r="S269" s="8">
        <v>137</v>
      </c>
      <c r="T269" t="s">
        <v>1022</v>
      </c>
      <c r="U269" t="s">
        <v>1023</v>
      </c>
      <c r="V269" s="8" t="s">
        <v>97</v>
      </c>
      <c r="W269" t="s">
        <v>97</v>
      </c>
      <c r="X269" t="s">
        <v>97</v>
      </c>
      <c r="Y269" s="8">
        <v>19</v>
      </c>
      <c r="Z269" s="8">
        <v>19</v>
      </c>
      <c r="AA269" s="8">
        <v>0</v>
      </c>
    </row>
    <row r="270" ht="36" customHeight="1" spans="1:27">
      <c r="A270" t="s">
        <v>1024</v>
      </c>
      <c r="B270" t="str">
        <f>_xlfn.DISPIMG("ID_AC1DEAB250E64CCA8ACF872F5768AC93",1)</f>
        <v>=DISPIMG("ID_AC1DEAB250E64CCA8ACF872F5768AC93",1)</v>
      </c>
      <c r="C270" t="s">
        <v>1025</v>
      </c>
      <c r="D270" t="s">
        <v>1024</v>
      </c>
      <c r="E270" s="7">
        <v>89.99</v>
      </c>
      <c r="F270" s="7" t="s">
        <v>107</v>
      </c>
      <c r="G270" s="8" t="s">
        <v>684</v>
      </c>
      <c r="H270">
        <v>0</v>
      </c>
      <c r="I270" s="8">
        <v>0</v>
      </c>
      <c r="J270" s="9">
        <v>0</v>
      </c>
      <c r="K270">
        <v>0</v>
      </c>
      <c r="L270">
        <v>0</v>
      </c>
      <c r="M270" s="10">
        <v>0</v>
      </c>
      <c r="N270" s="10">
        <v>0</v>
      </c>
      <c r="O270" s="9">
        <v>0</v>
      </c>
      <c r="P270" s="9">
        <v>0</v>
      </c>
      <c r="Q270" s="9">
        <v>0</v>
      </c>
      <c r="R270" t="s">
        <v>606</v>
      </c>
      <c r="S270" s="8" t="s">
        <v>97</v>
      </c>
      <c r="T270" t="s">
        <v>97</v>
      </c>
      <c r="U270" t="s">
        <v>97</v>
      </c>
      <c r="V270" s="8">
        <v>3</v>
      </c>
      <c r="W270" t="s">
        <v>56</v>
      </c>
      <c r="X270" t="s">
        <v>1026</v>
      </c>
      <c r="Y270" s="8">
        <v>207</v>
      </c>
      <c r="Z270" s="8">
        <v>110</v>
      </c>
      <c r="AA270" s="8">
        <v>97</v>
      </c>
    </row>
    <row r="271" ht="36" customHeight="1" spans="1:27">
      <c r="A271" t="s">
        <v>1027</v>
      </c>
      <c r="B271" t="str">
        <f>_xlfn.DISPIMG("ID_610E206A41254593B5CCDFE711A9E958",1)</f>
        <v>=DISPIMG("ID_610E206A41254593B5CCDFE711A9E958",1)</v>
      </c>
      <c r="C271" t="s">
        <v>1028</v>
      </c>
      <c r="D271" t="s">
        <v>1027</v>
      </c>
      <c r="E271" s="7">
        <v>168.99</v>
      </c>
      <c r="F271" s="7" t="s">
        <v>115</v>
      </c>
      <c r="G271" s="8" t="s">
        <v>100</v>
      </c>
      <c r="H271">
        <v>0</v>
      </c>
      <c r="I271" s="8">
        <v>0</v>
      </c>
      <c r="J271" s="9">
        <v>0</v>
      </c>
      <c r="K271">
        <v>0</v>
      </c>
      <c r="L271">
        <v>0</v>
      </c>
      <c r="M271" s="10">
        <v>0</v>
      </c>
      <c r="N271" s="10">
        <v>0</v>
      </c>
      <c r="O271" s="9">
        <v>0</v>
      </c>
      <c r="P271" s="9">
        <v>0</v>
      </c>
      <c r="Q271" s="9">
        <v>0</v>
      </c>
      <c r="R271" t="s">
        <v>606</v>
      </c>
      <c r="S271" s="8" t="s">
        <v>97</v>
      </c>
      <c r="T271" t="s">
        <v>97</v>
      </c>
      <c r="U271" t="s">
        <v>97</v>
      </c>
      <c r="V271" s="8">
        <v>5</v>
      </c>
      <c r="W271" t="s">
        <v>117</v>
      </c>
      <c r="X271" t="s">
        <v>1029</v>
      </c>
      <c r="Y271" s="8">
        <v>47</v>
      </c>
      <c r="Z271" s="8">
        <v>32</v>
      </c>
      <c r="AA271" s="8">
        <v>15</v>
      </c>
    </row>
    <row r="272" ht="36" customHeight="1" spans="1:27">
      <c r="A272" t="s">
        <v>1030</v>
      </c>
      <c r="B272" t="str">
        <f>_xlfn.DISPIMG("ID_0A7BD7DE67DD4C26A36D9490187278CF",1)</f>
        <v>=DISPIMG("ID_0A7BD7DE67DD4C26A36D9490187278CF",1)</v>
      </c>
      <c r="C272" t="s">
        <v>1031</v>
      </c>
      <c r="D272" t="s">
        <v>1030</v>
      </c>
      <c r="E272" s="7">
        <v>59.99</v>
      </c>
      <c r="F272" s="7" t="s">
        <v>195</v>
      </c>
      <c r="G272" s="8" t="s">
        <v>139</v>
      </c>
      <c r="H272">
        <v>0</v>
      </c>
      <c r="I272" s="8">
        <v>0</v>
      </c>
      <c r="J272" s="9">
        <v>0</v>
      </c>
      <c r="K272">
        <v>0</v>
      </c>
      <c r="L272">
        <v>0</v>
      </c>
      <c r="M272" s="10">
        <v>0</v>
      </c>
      <c r="N272" s="10">
        <v>0</v>
      </c>
      <c r="O272" s="9">
        <v>0</v>
      </c>
      <c r="P272" s="9">
        <v>0</v>
      </c>
      <c r="Q272" s="9">
        <v>0</v>
      </c>
      <c r="R272" t="s">
        <v>95</v>
      </c>
      <c r="S272" s="8">
        <v>142</v>
      </c>
      <c r="T272" t="s">
        <v>427</v>
      </c>
      <c r="U272" t="s">
        <v>911</v>
      </c>
      <c r="V272" s="8" t="s">
        <v>97</v>
      </c>
      <c r="W272" t="s">
        <v>97</v>
      </c>
      <c r="X272" t="s">
        <v>97</v>
      </c>
      <c r="Y272" s="8">
        <v>342</v>
      </c>
      <c r="Z272" s="8">
        <v>342</v>
      </c>
      <c r="AA272" s="8">
        <v>0</v>
      </c>
    </row>
    <row r="273" ht="36" customHeight="1" spans="1:27">
      <c r="A273" t="s">
        <v>1032</v>
      </c>
      <c r="B273" t="str">
        <f>_xlfn.DISPIMG("ID_7C8DD058C505448DB3C455A8C720E7DC",1)</f>
        <v>=DISPIMG("ID_7C8DD058C505448DB3C455A8C720E7DC",1)</v>
      </c>
      <c r="C273" t="s">
        <v>1033</v>
      </c>
      <c r="D273" t="s">
        <v>1032</v>
      </c>
      <c r="E273" s="7">
        <v>79.99</v>
      </c>
      <c r="F273" s="7" t="s">
        <v>191</v>
      </c>
      <c r="G273" s="8" t="s">
        <v>1034</v>
      </c>
      <c r="H273">
        <v>0</v>
      </c>
      <c r="I273" s="8">
        <v>0</v>
      </c>
      <c r="J273" s="9">
        <v>0</v>
      </c>
      <c r="K273">
        <v>0</v>
      </c>
      <c r="L273">
        <v>0</v>
      </c>
      <c r="M273" s="10">
        <v>0</v>
      </c>
      <c r="N273" s="10">
        <v>0</v>
      </c>
      <c r="O273" s="9">
        <v>0</v>
      </c>
      <c r="P273" s="9">
        <v>0</v>
      </c>
      <c r="Q273" s="9">
        <v>0</v>
      </c>
      <c r="R273" t="s">
        <v>606</v>
      </c>
      <c r="S273" s="8" t="s">
        <v>97</v>
      </c>
      <c r="T273" t="s">
        <v>97</v>
      </c>
      <c r="U273" t="s">
        <v>97</v>
      </c>
      <c r="V273" s="8">
        <v>20</v>
      </c>
      <c r="W273" t="s">
        <v>231</v>
      </c>
      <c r="X273" t="s">
        <v>1035</v>
      </c>
      <c r="Y273" s="8">
        <v>15</v>
      </c>
      <c r="Z273" s="8">
        <v>15</v>
      </c>
      <c r="AA273" s="8">
        <v>0</v>
      </c>
    </row>
    <row r="274" ht="36" customHeight="1" spans="1:27">
      <c r="A274" t="s">
        <v>1036</v>
      </c>
      <c r="B274" t="str">
        <f>_xlfn.DISPIMG("ID_1BD05F5B24CB4221A0E3A8E0AA98186F",1)</f>
        <v>=DISPIMG("ID_1BD05F5B24CB4221A0E3A8E0AA98186F",1)</v>
      </c>
      <c r="C274" t="s">
        <v>1037</v>
      </c>
      <c r="D274" t="s">
        <v>1036</v>
      </c>
      <c r="E274" s="7">
        <v>269.99</v>
      </c>
      <c r="F274" s="7" t="s">
        <v>65</v>
      </c>
      <c r="G274" s="8" t="s">
        <v>438</v>
      </c>
      <c r="H274">
        <v>0</v>
      </c>
      <c r="I274" s="8">
        <v>0</v>
      </c>
      <c r="J274" s="9">
        <v>0</v>
      </c>
      <c r="K274">
        <v>0</v>
      </c>
      <c r="L274">
        <v>0</v>
      </c>
      <c r="M274" s="10">
        <v>0</v>
      </c>
      <c r="N274" s="10">
        <v>0</v>
      </c>
      <c r="O274" s="9">
        <v>0</v>
      </c>
      <c r="P274" s="9">
        <v>0</v>
      </c>
      <c r="Q274" s="9">
        <v>0</v>
      </c>
      <c r="R274" t="s">
        <v>439</v>
      </c>
      <c r="S274" s="8" t="s">
        <v>97</v>
      </c>
      <c r="T274" t="s">
        <v>97</v>
      </c>
      <c r="U274" t="s">
        <v>97</v>
      </c>
      <c r="V274" s="8">
        <v>15</v>
      </c>
      <c r="W274" t="s">
        <v>680</v>
      </c>
      <c r="X274" t="s">
        <v>1038</v>
      </c>
      <c r="Y274" s="8">
        <v>176</v>
      </c>
      <c r="Z274" s="8">
        <v>11</v>
      </c>
      <c r="AA274" s="8">
        <v>165</v>
      </c>
    </row>
    <row r="275" ht="36" customHeight="1" spans="1:27">
      <c r="A275" t="s">
        <v>1039</v>
      </c>
      <c r="B275" t="str">
        <f>_xlfn.DISPIMG("ID_C15C87F528F94D5CAD91E98C27B34A1E",1)</f>
        <v>=DISPIMG("ID_C15C87F528F94D5CAD91E98C27B34A1E",1)</v>
      </c>
      <c r="C275" t="s">
        <v>1040</v>
      </c>
      <c r="D275" t="s">
        <v>1039</v>
      </c>
      <c r="E275" s="7">
        <v>235</v>
      </c>
      <c r="F275" s="7" t="s">
        <v>459</v>
      </c>
      <c r="G275" s="8" t="s">
        <v>459</v>
      </c>
      <c r="H275">
        <v>0</v>
      </c>
      <c r="I275" s="8">
        <v>0</v>
      </c>
      <c r="J275" s="9">
        <v>0</v>
      </c>
      <c r="K275">
        <v>0</v>
      </c>
      <c r="L275">
        <v>0</v>
      </c>
      <c r="M275" s="10">
        <v>0</v>
      </c>
      <c r="N275" s="10">
        <v>0</v>
      </c>
      <c r="O275" s="9">
        <v>0</v>
      </c>
      <c r="P275" s="9">
        <v>0</v>
      </c>
      <c r="Q275" s="9">
        <v>0</v>
      </c>
      <c r="R275" t="s">
        <v>741</v>
      </c>
      <c r="S275" s="8" t="s">
        <v>97</v>
      </c>
      <c r="T275" t="s">
        <v>97</v>
      </c>
      <c r="U275" t="s">
        <v>97</v>
      </c>
      <c r="V275" s="8" t="s">
        <v>97</v>
      </c>
      <c r="W275" t="s">
        <v>97</v>
      </c>
      <c r="X275" t="s">
        <v>97</v>
      </c>
      <c r="Y275" s="8">
        <v>40</v>
      </c>
      <c r="Z275" s="8">
        <v>1</v>
      </c>
      <c r="AA275" s="8">
        <v>39</v>
      </c>
    </row>
    <row r="276" ht="36" customHeight="1" spans="1:27">
      <c r="A276" t="s">
        <v>1041</v>
      </c>
      <c r="B276" t="str">
        <f>_xlfn.DISPIMG("ID_CC8723C3502E4D76837EC910AA6354E3",1)</f>
        <v>=DISPIMG("ID_CC8723C3502E4D76837EC910AA6354E3",1)</v>
      </c>
      <c r="C276" t="s">
        <v>1042</v>
      </c>
      <c r="D276" t="s">
        <v>1041</v>
      </c>
      <c r="E276" s="7">
        <v>59.99</v>
      </c>
      <c r="F276" s="7" t="s">
        <v>115</v>
      </c>
      <c r="G276" s="8" t="s">
        <v>376</v>
      </c>
      <c r="H276">
        <v>50</v>
      </c>
      <c r="I276" s="8">
        <v>0</v>
      </c>
      <c r="J276" s="9">
        <v>0</v>
      </c>
      <c r="K276">
        <v>0</v>
      </c>
      <c r="L276">
        <v>0</v>
      </c>
      <c r="M276" s="10">
        <v>0</v>
      </c>
      <c r="N276" s="10">
        <v>0</v>
      </c>
      <c r="O276" s="9">
        <v>0</v>
      </c>
      <c r="P276" s="9">
        <v>0</v>
      </c>
      <c r="Q276" s="9">
        <v>0</v>
      </c>
      <c r="R276" t="s">
        <v>95</v>
      </c>
      <c r="S276" s="8">
        <v>3</v>
      </c>
      <c r="T276" t="s">
        <v>56</v>
      </c>
      <c r="U276" t="s">
        <v>1043</v>
      </c>
      <c r="V276" s="8" t="s">
        <v>97</v>
      </c>
      <c r="W276" t="s">
        <v>97</v>
      </c>
      <c r="X276" t="s">
        <v>97</v>
      </c>
      <c r="Y276" s="8">
        <v>3</v>
      </c>
      <c r="Z276" s="8">
        <v>3</v>
      </c>
      <c r="AA276" s="8">
        <v>0</v>
      </c>
    </row>
    <row r="277" ht="36" customHeight="1" spans="1:27">
      <c r="A277" t="s">
        <v>1044</v>
      </c>
      <c r="B277" t="str">
        <f>_xlfn.DISPIMG("ID_1EC3D80C6BBB4BB8AEC8F44FBD31FFE0",1)</f>
        <v>=DISPIMG("ID_1EC3D80C6BBB4BB8AEC8F44FBD31FFE0",1)</v>
      </c>
      <c r="C277" t="s">
        <v>1045</v>
      </c>
      <c r="D277" t="s">
        <v>1044</v>
      </c>
      <c r="E277" s="7">
        <v>71.99</v>
      </c>
      <c r="F277" s="7" t="s">
        <v>128</v>
      </c>
      <c r="G277" s="8" t="s">
        <v>288</v>
      </c>
      <c r="H277">
        <v>800</v>
      </c>
      <c r="I277" s="8">
        <v>0</v>
      </c>
      <c r="J277" s="9">
        <v>0</v>
      </c>
      <c r="K277">
        <v>0</v>
      </c>
      <c r="L277">
        <v>0</v>
      </c>
      <c r="M277" s="10">
        <v>0</v>
      </c>
      <c r="N277" s="10">
        <v>0</v>
      </c>
      <c r="O277" s="9">
        <v>0</v>
      </c>
      <c r="P277" s="9">
        <v>0</v>
      </c>
      <c r="Q277" s="9">
        <v>0</v>
      </c>
      <c r="R277" t="s">
        <v>38</v>
      </c>
      <c r="S277" s="8">
        <v>79</v>
      </c>
      <c r="T277" t="s">
        <v>1046</v>
      </c>
      <c r="U277" t="s">
        <v>1047</v>
      </c>
      <c r="V277" s="8">
        <v>11</v>
      </c>
      <c r="W277" t="s">
        <v>46</v>
      </c>
      <c r="X277" t="s">
        <v>1048</v>
      </c>
      <c r="Y277" s="8">
        <v>51</v>
      </c>
      <c r="Z277" s="8">
        <v>46</v>
      </c>
      <c r="AA277" s="8">
        <v>5</v>
      </c>
    </row>
    <row r="278" ht="36" customHeight="1" spans="1:27">
      <c r="A278" t="s">
        <v>1049</v>
      </c>
      <c r="B278" t="str">
        <f>_xlfn.DISPIMG("ID_2AF31A7A57B04C56BCAA79B6AF0617C1",1)</f>
        <v>=DISPIMG("ID_2AF31A7A57B04C56BCAA79B6AF0617C1",1)</v>
      </c>
      <c r="C278" t="s">
        <v>1050</v>
      </c>
      <c r="D278" t="s">
        <v>1049</v>
      </c>
      <c r="E278" s="7">
        <v>129.99</v>
      </c>
      <c r="F278" s="7" t="s">
        <v>115</v>
      </c>
      <c r="G278" s="8" t="s">
        <v>317</v>
      </c>
      <c r="H278">
        <v>0</v>
      </c>
      <c r="I278" s="8">
        <v>0</v>
      </c>
      <c r="J278" s="9">
        <v>0</v>
      </c>
      <c r="K278">
        <v>0</v>
      </c>
      <c r="L278">
        <v>0</v>
      </c>
      <c r="M278" s="10">
        <v>0</v>
      </c>
      <c r="N278" s="10">
        <v>0</v>
      </c>
      <c r="O278" s="9">
        <v>0</v>
      </c>
      <c r="P278" s="9">
        <v>0</v>
      </c>
      <c r="Q278" s="9">
        <v>0</v>
      </c>
      <c r="R278" t="s">
        <v>606</v>
      </c>
      <c r="S278" s="8" t="s">
        <v>97</v>
      </c>
      <c r="T278" t="s">
        <v>97</v>
      </c>
      <c r="U278" t="s">
        <v>97</v>
      </c>
      <c r="V278" s="8">
        <v>17</v>
      </c>
      <c r="W278" t="s">
        <v>103</v>
      </c>
      <c r="X278" t="s">
        <v>503</v>
      </c>
      <c r="Y278" s="8">
        <v>47</v>
      </c>
      <c r="Z278" s="8">
        <v>47</v>
      </c>
      <c r="AA278" s="8">
        <v>0</v>
      </c>
    </row>
    <row r="279" ht="36" customHeight="1" spans="1:27">
      <c r="A279" t="s">
        <v>1051</v>
      </c>
      <c r="B279" t="str">
        <f>_xlfn.DISPIMG("ID_A1C837F5537F40F5ACA0F736280E033F",1)</f>
        <v>=DISPIMG("ID_A1C837F5537F40F5ACA0F736280E033F",1)</v>
      </c>
      <c r="C279" t="s">
        <v>1052</v>
      </c>
      <c r="D279" t="s">
        <v>1051</v>
      </c>
      <c r="E279" s="7">
        <v>79.99</v>
      </c>
      <c r="F279" s="7" t="s">
        <v>195</v>
      </c>
      <c r="G279" s="8" t="s">
        <v>1053</v>
      </c>
      <c r="H279">
        <v>50</v>
      </c>
      <c r="I279" s="8">
        <v>0</v>
      </c>
      <c r="J279" s="9">
        <v>0</v>
      </c>
      <c r="K279">
        <v>0</v>
      </c>
      <c r="L279">
        <v>0</v>
      </c>
      <c r="M279" s="10">
        <v>0</v>
      </c>
      <c r="N279" s="10">
        <v>0</v>
      </c>
      <c r="O279" s="9">
        <v>0</v>
      </c>
      <c r="P279" s="9">
        <v>0</v>
      </c>
      <c r="Q279" s="9">
        <v>0</v>
      </c>
      <c r="R279" t="s">
        <v>606</v>
      </c>
      <c r="S279" s="8" t="s">
        <v>97</v>
      </c>
      <c r="T279" t="s">
        <v>97</v>
      </c>
      <c r="U279" t="s">
        <v>97</v>
      </c>
      <c r="V279" s="8">
        <v>7</v>
      </c>
      <c r="W279" t="s">
        <v>111</v>
      </c>
      <c r="X279" t="s">
        <v>1054</v>
      </c>
      <c r="Y279" s="8">
        <v>274</v>
      </c>
      <c r="Z279" s="8">
        <v>274</v>
      </c>
      <c r="AA279" s="8">
        <v>0</v>
      </c>
    </row>
    <row r="280" ht="36" customHeight="1" spans="1:27">
      <c r="A280" t="s">
        <v>1055</v>
      </c>
      <c r="B280" t="str">
        <f>_xlfn.DISPIMG("ID_48B8F9669D9D41EBBA99A18BDFAEFCFD",1)</f>
        <v>=DISPIMG("ID_48B8F9669D9D41EBBA99A18BDFAEFCFD",1)</v>
      </c>
      <c r="C280" t="s">
        <v>1056</v>
      </c>
      <c r="D280" t="s">
        <v>1055</v>
      </c>
      <c r="E280" s="7">
        <v>39.99</v>
      </c>
      <c r="F280" s="7" t="s">
        <v>1057</v>
      </c>
      <c r="G280" s="8" t="s">
        <v>139</v>
      </c>
      <c r="H280">
        <v>100</v>
      </c>
      <c r="I280" s="8">
        <v>0</v>
      </c>
      <c r="J280" s="9">
        <v>0</v>
      </c>
      <c r="K280">
        <v>0</v>
      </c>
      <c r="L280">
        <v>0</v>
      </c>
      <c r="M280" s="10">
        <v>0</v>
      </c>
      <c r="N280" s="10">
        <v>0</v>
      </c>
      <c r="O280" s="9">
        <v>0</v>
      </c>
      <c r="P280" s="9">
        <v>0</v>
      </c>
      <c r="Q280" s="9">
        <v>0</v>
      </c>
      <c r="R280" t="s">
        <v>95</v>
      </c>
      <c r="S280" s="8">
        <v>79</v>
      </c>
      <c r="T280" t="s">
        <v>1046</v>
      </c>
      <c r="U280" t="s">
        <v>1058</v>
      </c>
      <c r="V280" s="8" t="s">
        <v>97</v>
      </c>
      <c r="W280" t="s">
        <v>97</v>
      </c>
      <c r="X280" t="s">
        <v>97</v>
      </c>
      <c r="Y280" s="8">
        <v>15</v>
      </c>
      <c r="Z280" s="8">
        <v>15</v>
      </c>
      <c r="AA280" s="8">
        <v>0</v>
      </c>
    </row>
    <row r="281" ht="36" customHeight="1" spans="1:27">
      <c r="A281" t="s">
        <v>1059</v>
      </c>
      <c r="B281" t="str">
        <f>_xlfn.DISPIMG("ID_8CEEB6655A044E4AA6881E4913F8BB13",1)</f>
        <v>=DISPIMG("ID_8CEEB6655A044E4AA6881E4913F8BB13",1)</v>
      </c>
      <c r="C281" t="s">
        <v>1060</v>
      </c>
      <c r="D281" t="s">
        <v>1059</v>
      </c>
      <c r="E281" s="7">
        <v>80.99</v>
      </c>
      <c r="F281" s="7" t="s">
        <v>27</v>
      </c>
      <c r="G281" s="8" t="s">
        <v>684</v>
      </c>
      <c r="H281">
        <v>600</v>
      </c>
      <c r="I281" s="8">
        <v>0</v>
      </c>
      <c r="J281" s="9">
        <v>0</v>
      </c>
      <c r="K281">
        <v>0</v>
      </c>
      <c r="L281">
        <v>0</v>
      </c>
      <c r="M281" s="10">
        <v>0</v>
      </c>
      <c r="N281" s="10">
        <v>0</v>
      </c>
      <c r="O281" s="9">
        <v>0</v>
      </c>
      <c r="P281" s="9">
        <v>0</v>
      </c>
      <c r="Q281" s="9">
        <v>0</v>
      </c>
      <c r="R281" t="s">
        <v>95</v>
      </c>
      <c r="S281" s="8">
        <v>76</v>
      </c>
      <c r="T281" t="s">
        <v>301</v>
      </c>
      <c r="U281" t="s">
        <v>1006</v>
      </c>
      <c r="V281" s="8" t="s">
        <v>97</v>
      </c>
      <c r="W281" t="s">
        <v>97</v>
      </c>
      <c r="X281" t="s">
        <v>97</v>
      </c>
      <c r="Y281" s="8">
        <v>38</v>
      </c>
      <c r="Z281" s="8">
        <v>38</v>
      </c>
      <c r="AA281" s="8">
        <v>0</v>
      </c>
    </row>
    <row r="282" ht="36" customHeight="1" spans="1:27">
      <c r="A282" t="s">
        <v>1061</v>
      </c>
      <c r="B282" t="str">
        <f>_xlfn.DISPIMG("ID_CA7F17D7038F4DCEB9401BD54F30E13E",1)</f>
        <v>=DISPIMG("ID_CA7F17D7038F4DCEB9401BD54F30E13E",1)</v>
      </c>
      <c r="C282" t="s">
        <v>1062</v>
      </c>
      <c r="D282" t="s">
        <v>1061</v>
      </c>
      <c r="E282" s="7">
        <v>29.9</v>
      </c>
      <c r="F282" s="7" t="s">
        <v>317</v>
      </c>
      <c r="G282" s="8" t="s">
        <v>317</v>
      </c>
      <c r="H282">
        <v>0</v>
      </c>
      <c r="I282" s="8">
        <v>0</v>
      </c>
      <c r="J282" s="9">
        <v>0</v>
      </c>
      <c r="K282">
        <v>0</v>
      </c>
      <c r="L282">
        <v>0</v>
      </c>
      <c r="M282" s="10">
        <v>0</v>
      </c>
      <c r="N282" s="10">
        <v>0</v>
      </c>
      <c r="O282" s="9">
        <v>0</v>
      </c>
      <c r="P282" s="9">
        <v>0</v>
      </c>
      <c r="Q282" s="9">
        <v>0</v>
      </c>
      <c r="R282" t="s">
        <v>590</v>
      </c>
      <c r="S282" s="8" t="s">
        <v>97</v>
      </c>
      <c r="T282" t="s">
        <v>97</v>
      </c>
      <c r="U282" t="s">
        <v>97</v>
      </c>
      <c r="V282" s="8" t="s">
        <v>97</v>
      </c>
      <c r="W282" t="s">
        <v>97</v>
      </c>
      <c r="X282" t="s">
        <v>97</v>
      </c>
      <c r="Y282" s="8">
        <v>0</v>
      </c>
      <c r="Z282" s="8">
        <v>0</v>
      </c>
      <c r="AA282" s="8">
        <v>0</v>
      </c>
    </row>
    <row r="283" ht="36" customHeight="1" spans="1:27">
      <c r="A283" t="s">
        <v>1063</v>
      </c>
      <c r="B283" t="str">
        <f>_xlfn.DISPIMG("ID_07789EC59200486A9A1BEE7AE7B0079E",1)</f>
        <v>=DISPIMG("ID_07789EC59200486A9A1BEE7AE7B0079E",1)</v>
      </c>
      <c r="C283" t="s">
        <v>1064</v>
      </c>
      <c r="D283" t="s">
        <v>1063</v>
      </c>
      <c r="E283" s="7">
        <v>69.99</v>
      </c>
      <c r="F283" s="7" t="s">
        <v>80</v>
      </c>
      <c r="G283" s="8" t="s">
        <v>478</v>
      </c>
      <c r="H283">
        <v>0</v>
      </c>
      <c r="I283" s="8">
        <v>0</v>
      </c>
      <c r="J283" s="9">
        <v>0</v>
      </c>
      <c r="K283">
        <v>0</v>
      </c>
      <c r="L283">
        <v>0</v>
      </c>
      <c r="M283" s="10">
        <v>0</v>
      </c>
      <c r="N283" s="10">
        <v>0</v>
      </c>
      <c r="O283" s="9">
        <v>0</v>
      </c>
      <c r="P283" s="9">
        <v>0</v>
      </c>
      <c r="Q283" s="9">
        <v>0</v>
      </c>
      <c r="R283" t="s">
        <v>606</v>
      </c>
      <c r="S283" s="8" t="s">
        <v>97</v>
      </c>
      <c r="T283" t="s">
        <v>97</v>
      </c>
      <c r="U283" t="s">
        <v>97</v>
      </c>
      <c r="V283" s="8">
        <v>12</v>
      </c>
      <c r="W283" t="s">
        <v>76</v>
      </c>
      <c r="X283" t="s">
        <v>242</v>
      </c>
      <c r="Y283" s="8">
        <v>48</v>
      </c>
      <c r="Z283" s="8">
        <v>41</v>
      </c>
      <c r="AA283" s="8">
        <v>7</v>
      </c>
    </row>
    <row r="284" ht="36" customHeight="1" spans="1:27">
      <c r="A284" t="s">
        <v>1065</v>
      </c>
      <c r="B284" t="str">
        <f>_xlfn.DISPIMG("ID_B4CE0FE88D9C497E8A960BA2CA5E2702",1)</f>
        <v>=DISPIMG("ID_B4CE0FE88D9C497E8A960BA2CA5E2702",1)</v>
      </c>
      <c r="C284" t="s">
        <v>1066</v>
      </c>
      <c r="D284" t="s">
        <v>1065</v>
      </c>
      <c r="E284" s="7">
        <v>69.99</v>
      </c>
      <c r="F284" s="7" t="s">
        <v>195</v>
      </c>
      <c r="G284" s="8" t="s">
        <v>1067</v>
      </c>
      <c r="H284">
        <v>300</v>
      </c>
      <c r="I284" s="8">
        <v>0</v>
      </c>
      <c r="J284" s="9">
        <v>0</v>
      </c>
      <c r="K284">
        <v>0</v>
      </c>
      <c r="L284">
        <v>0</v>
      </c>
      <c r="M284" s="10">
        <v>0</v>
      </c>
      <c r="N284" s="10">
        <v>0</v>
      </c>
      <c r="O284" s="9">
        <v>0</v>
      </c>
      <c r="P284" s="9">
        <v>0</v>
      </c>
      <c r="Q284" s="9">
        <v>0</v>
      </c>
      <c r="R284" t="s">
        <v>95</v>
      </c>
      <c r="S284" s="8">
        <v>142</v>
      </c>
      <c r="T284" t="s">
        <v>427</v>
      </c>
      <c r="U284" t="s">
        <v>1068</v>
      </c>
      <c r="V284" s="8" t="s">
        <v>97</v>
      </c>
      <c r="W284" t="s">
        <v>97</v>
      </c>
      <c r="X284" t="s">
        <v>97</v>
      </c>
      <c r="Y284" s="8">
        <v>25</v>
      </c>
      <c r="Z284" s="8">
        <v>25</v>
      </c>
      <c r="AA284" s="8">
        <v>0</v>
      </c>
    </row>
    <row r="285" ht="36" customHeight="1" spans="1:27">
      <c r="A285" t="s">
        <v>1069</v>
      </c>
      <c r="B285" t="str">
        <f>_xlfn.DISPIMG("ID_A87CC77B958A45EE8EBC886E412A21DF",1)</f>
        <v>=DISPIMG("ID_A87CC77B958A45EE8EBC886E412A21DF",1)</v>
      </c>
      <c r="C285" t="s">
        <v>1070</v>
      </c>
      <c r="D285" t="s">
        <v>1069</v>
      </c>
      <c r="E285" s="7">
        <v>400</v>
      </c>
      <c r="F285" s="7" t="s">
        <v>115</v>
      </c>
      <c r="G285" s="8" t="s">
        <v>139</v>
      </c>
      <c r="H285">
        <v>50</v>
      </c>
      <c r="I285" s="8">
        <v>0</v>
      </c>
      <c r="J285" s="9">
        <v>0</v>
      </c>
      <c r="K285">
        <v>0</v>
      </c>
      <c r="L285">
        <v>0</v>
      </c>
      <c r="M285" s="10">
        <v>0</v>
      </c>
      <c r="N285" s="10">
        <v>0</v>
      </c>
      <c r="O285" s="9">
        <v>0</v>
      </c>
      <c r="P285" s="9">
        <v>0</v>
      </c>
      <c r="Q285" s="9">
        <v>0</v>
      </c>
      <c r="R285" t="s">
        <v>95</v>
      </c>
      <c r="S285" s="8">
        <v>1</v>
      </c>
      <c r="T285" t="s">
        <v>47</v>
      </c>
      <c r="U285" t="s">
        <v>980</v>
      </c>
      <c r="V285" s="8" t="s">
        <v>97</v>
      </c>
      <c r="W285" t="s">
        <v>97</v>
      </c>
      <c r="X285" t="s">
        <v>97</v>
      </c>
      <c r="Y285" s="8">
        <v>145</v>
      </c>
      <c r="Z285" s="8">
        <v>143</v>
      </c>
      <c r="AA285" s="8">
        <v>2</v>
      </c>
    </row>
    <row r="286" ht="36" customHeight="1" spans="1:27">
      <c r="A286" t="s">
        <v>1071</v>
      </c>
      <c r="B286" t="str">
        <f>_xlfn.DISPIMG("ID_68881F82D6024C13914FA3C6AA99CA13",1)</f>
        <v>=DISPIMG("ID_68881F82D6024C13914FA3C6AA99CA13",1)</v>
      </c>
      <c r="C286" t="s">
        <v>1072</v>
      </c>
      <c r="D286" t="s">
        <v>1071</v>
      </c>
      <c r="E286" s="7">
        <v>107.98</v>
      </c>
      <c r="F286" s="7" t="s">
        <v>214</v>
      </c>
      <c r="G286" s="8" t="s">
        <v>145</v>
      </c>
      <c r="H286">
        <v>0</v>
      </c>
      <c r="I286" s="8">
        <v>0</v>
      </c>
      <c r="J286" s="9">
        <v>0</v>
      </c>
      <c r="K286">
        <v>0</v>
      </c>
      <c r="L286">
        <v>0</v>
      </c>
      <c r="M286" s="10">
        <v>0</v>
      </c>
      <c r="N286" s="10">
        <v>0</v>
      </c>
      <c r="O286" s="9">
        <v>0</v>
      </c>
      <c r="P286" s="9">
        <v>0</v>
      </c>
      <c r="Q286" s="9">
        <v>0</v>
      </c>
      <c r="R286" t="s">
        <v>95</v>
      </c>
      <c r="S286" s="8">
        <v>3</v>
      </c>
      <c r="T286" t="s">
        <v>56</v>
      </c>
      <c r="U286" t="s">
        <v>915</v>
      </c>
      <c r="V286" s="8" t="s">
        <v>97</v>
      </c>
      <c r="W286" t="s">
        <v>97</v>
      </c>
      <c r="X286" t="s">
        <v>97</v>
      </c>
      <c r="Y286" s="8">
        <v>67</v>
      </c>
      <c r="Z286" s="8">
        <v>62</v>
      </c>
      <c r="AA286" s="8">
        <v>5</v>
      </c>
    </row>
    <row r="287" ht="36" customHeight="1" spans="1:27">
      <c r="A287" t="s">
        <v>1073</v>
      </c>
      <c r="B287" t="str">
        <f>_xlfn.DISPIMG("ID_C82B0026C8044463B68DF5355D1292E5",1)</f>
        <v>=DISPIMG("ID_C82B0026C8044463B68DF5355D1292E5",1)</v>
      </c>
      <c r="C287" t="s">
        <v>542</v>
      </c>
      <c r="D287" t="s">
        <v>1073</v>
      </c>
      <c r="E287" s="7">
        <v>549.99</v>
      </c>
      <c r="F287" s="7" t="s">
        <v>128</v>
      </c>
      <c r="G287" s="8" t="s">
        <v>543</v>
      </c>
      <c r="H287">
        <v>0</v>
      </c>
      <c r="I287" s="8">
        <v>0</v>
      </c>
      <c r="J287" s="9">
        <v>0</v>
      </c>
      <c r="K287">
        <v>0</v>
      </c>
      <c r="L287">
        <v>0</v>
      </c>
      <c r="M287" s="10">
        <v>0</v>
      </c>
      <c r="N287" s="10">
        <v>0</v>
      </c>
      <c r="O287" s="9">
        <v>0</v>
      </c>
      <c r="P287" s="9">
        <v>0</v>
      </c>
      <c r="Q287" s="9">
        <v>0</v>
      </c>
      <c r="R287" t="s">
        <v>439</v>
      </c>
      <c r="S287" s="8" t="s">
        <v>97</v>
      </c>
      <c r="T287" t="s">
        <v>97</v>
      </c>
      <c r="U287" t="s">
        <v>97</v>
      </c>
      <c r="V287" s="8">
        <v>17</v>
      </c>
      <c r="W287" t="s">
        <v>578</v>
      </c>
      <c r="X287" t="s">
        <v>1074</v>
      </c>
      <c r="Y287" s="8">
        <v>8</v>
      </c>
      <c r="Z287" s="8">
        <v>8</v>
      </c>
      <c r="AA287" s="8">
        <v>0</v>
      </c>
    </row>
    <row r="288" ht="36" customHeight="1" spans="1:27">
      <c r="A288" t="s">
        <v>1075</v>
      </c>
      <c r="B288" t="str">
        <f>_xlfn.DISPIMG("ID_C8D083D3815F4BC79F892F6F474FF3D3",1)</f>
        <v>=DISPIMG("ID_C8D083D3815F4BC79F892F6F474FF3D3",1)</v>
      </c>
      <c r="C288" t="s">
        <v>1076</v>
      </c>
      <c r="D288" t="s">
        <v>1075</v>
      </c>
      <c r="E288" s="7">
        <v>209.99</v>
      </c>
      <c r="F288" s="7" t="s">
        <v>115</v>
      </c>
      <c r="G288" s="8" t="s">
        <v>376</v>
      </c>
      <c r="H288">
        <v>0</v>
      </c>
      <c r="I288" s="8">
        <v>0</v>
      </c>
      <c r="J288" s="9">
        <v>0</v>
      </c>
      <c r="K288">
        <v>0</v>
      </c>
      <c r="L288">
        <v>0</v>
      </c>
      <c r="M288" s="10">
        <v>0</v>
      </c>
      <c r="N288" s="10">
        <v>0</v>
      </c>
      <c r="O288" s="9">
        <v>0</v>
      </c>
      <c r="P288" s="9">
        <v>0</v>
      </c>
      <c r="Q288" s="9">
        <v>0</v>
      </c>
      <c r="R288" t="s">
        <v>606</v>
      </c>
      <c r="S288" s="8" t="s">
        <v>97</v>
      </c>
      <c r="T288" t="s">
        <v>97</v>
      </c>
      <c r="U288" t="s">
        <v>97</v>
      </c>
      <c r="V288" s="8">
        <v>14</v>
      </c>
      <c r="W288" t="s">
        <v>135</v>
      </c>
      <c r="X288" t="s">
        <v>1077</v>
      </c>
      <c r="Y288" s="8">
        <v>0</v>
      </c>
      <c r="Z288" s="8">
        <v>0</v>
      </c>
      <c r="AA288" s="8">
        <v>0</v>
      </c>
    </row>
    <row r="289" ht="36" customHeight="1" spans="1:27">
      <c r="A289" t="s">
        <v>1078</v>
      </c>
      <c r="B289" t="str">
        <f>_xlfn.DISPIMG("ID_5C7B296B90F44CF99529D0119A15B1BC",1)</f>
        <v>=DISPIMG("ID_5C7B296B90F44CF99529D0119A15B1BC",1)</v>
      </c>
      <c r="C289" t="s">
        <v>1079</v>
      </c>
      <c r="D289" t="s">
        <v>1078</v>
      </c>
      <c r="E289" s="7">
        <v>59.99</v>
      </c>
      <c r="F289" s="7" t="s">
        <v>27</v>
      </c>
      <c r="G289" s="8" t="s">
        <v>478</v>
      </c>
      <c r="H289">
        <v>50</v>
      </c>
      <c r="I289" s="8">
        <v>0</v>
      </c>
      <c r="J289" s="9">
        <v>0</v>
      </c>
      <c r="K289">
        <v>0</v>
      </c>
      <c r="L289">
        <v>0</v>
      </c>
      <c r="M289" s="10">
        <v>0</v>
      </c>
      <c r="N289" s="10">
        <v>0</v>
      </c>
      <c r="O289" s="9">
        <v>0</v>
      </c>
      <c r="P289" s="9">
        <v>0</v>
      </c>
      <c r="Q289" s="9">
        <v>0</v>
      </c>
      <c r="R289" t="s">
        <v>606</v>
      </c>
      <c r="S289" s="8" t="s">
        <v>97</v>
      </c>
      <c r="T289" t="s">
        <v>97</v>
      </c>
      <c r="U289" t="s">
        <v>97</v>
      </c>
      <c r="V289" s="8">
        <v>4</v>
      </c>
      <c r="W289" t="s">
        <v>40</v>
      </c>
      <c r="X289" t="s">
        <v>806</v>
      </c>
      <c r="Y289" s="8">
        <v>96</v>
      </c>
      <c r="Z289" s="8">
        <v>22</v>
      </c>
      <c r="AA289" s="8">
        <v>74</v>
      </c>
    </row>
    <row r="290" ht="36" customHeight="1" spans="1:27">
      <c r="A290" t="s">
        <v>1080</v>
      </c>
      <c r="B290" t="str">
        <f>_xlfn.DISPIMG("ID_E8035E0311074DE08202548020E52918",1)</f>
        <v>=DISPIMG("ID_E8035E0311074DE08202548020E52918",1)</v>
      </c>
      <c r="C290" t="s">
        <v>1081</v>
      </c>
      <c r="D290" t="s">
        <v>1080</v>
      </c>
      <c r="E290" s="7">
        <v>69.99</v>
      </c>
      <c r="F290" s="7" t="s">
        <v>1057</v>
      </c>
      <c r="G290" s="8" t="s">
        <v>459</v>
      </c>
      <c r="H290">
        <v>0</v>
      </c>
      <c r="I290" s="8">
        <v>0</v>
      </c>
      <c r="J290" s="9">
        <v>0</v>
      </c>
      <c r="K290">
        <v>0</v>
      </c>
      <c r="L290">
        <v>0</v>
      </c>
      <c r="M290" s="10">
        <v>0</v>
      </c>
      <c r="N290" s="10">
        <v>0</v>
      </c>
      <c r="O290" s="9">
        <v>0</v>
      </c>
      <c r="P290" s="9">
        <v>0</v>
      </c>
      <c r="Q290" s="9">
        <v>0</v>
      </c>
      <c r="R290" t="s">
        <v>852</v>
      </c>
      <c r="S290" s="8">
        <v>125</v>
      </c>
      <c r="T290" t="s">
        <v>746</v>
      </c>
      <c r="U290" t="s">
        <v>926</v>
      </c>
      <c r="V290" s="8">
        <v>9</v>
      </c>
      <c r="W290" t="s">
        <v>104</v>
      </c>
      <c r="X290" t="s">
        <v>1082</v>
      </c>
      <c r="Y290" s="8">
        <v>0</v>
      </c>
      <c r="Z290" s="8">
        <v>0</v>
      </c>
      <c r="AA290" s="8">
        <v>0</v>
      </c>
    </row>
    <row r="291" ht="36" customHeight="1" spans="1:27">
      <c r="A291" t="s">
        <v>1083</v>
      </c>
      <c r="B291" t="str">
        <f>_xlfn.DISPIMG("ID_DFEA448195EC48338A8EBC322E503B00",1)</f>
        <v>=DISPIMG("ID_DFEA448195EC48338A8EBC322E503B00",1)</v>
      </c>
      <c r="C291" t="s">
        <v>1084</v>
      </c>
      <c r="D291" t="s">
        <v>1083</v>
      </c>
      <c r="E291" s="7">
        <v>47.49</v>
      </c>
      <c r="F291" s="7" t="s">
        <v>195</v>
      </c>
      <c r="G291" s="8" t="s">
        <v>816</v>
      </c>
      <c r="H291">
        <v>200</v>
      </c>
      <c r="I291" s="8">
        <v>0</v>
      </c>
      <c r="J291" s="9">
        <v>0</v>
      </c>
      <c r="K291">
        <v>0</v>
      </c>
      <c r="L291">
        <v>0</v>
      </c>
      <c r="M291" s="10">
        <v>0</v>
      </c>
      <c r="N291" s="10">
        <v>0</v>
      </c>
      <c r="O291" s="9">
        <v>0</v>
      </c>
      <c r="P291" s="9">
        <v>0</v>
      </c>
      <c r="Q291" s="9">
        <v>0</v>
      </c>
      <c r="R291" t="s">
        <v>38</v>
      </c>
      <c r="S291" s="8">
        <v>96</v>
      </c>
      <c r="T291" t="s">
        <v>1085</v>
      </c>
      <c r="U291" t="s">
        <v>926</v>
      </c>
      <c r="V291" s="8">
        <v>3</v>
      </c>
      <c r="W291" t="s">
        <v>56</v>
      </c>
      <c r="X291" t="s">
        <v>334</v>
      </c>
      <c r="Y291" s="8">
        <v>351</v>
      </c>
      <c r="Z291" s="8">
        <v>135</v>
      </c>
      <c r="AA291" s="8">
        <v>216</v>
      </c>
    </row>
    <row r="292" ht="36" customHeight="1" spans="1:27">
      <c r="A292" t="s">
        <v>1086</v>
      </c>
      <c r="B292" t="str">
        <f>_xlfn.DISPIMG("ID_772FDA6306AB4D3F91DCD02B2D09DDCD",1)</f>
        <v>=DISPIMG("ID_772FDA6306AB4D3F91DCD02B2D09DDCD",1)</v>
      </c>
      <c r="C292" t="s">
        <v>1087</v>
      </c>
      <c r="D292" t="s">
        <v>1086</v>
      </c>
      <c r="E292" s="7">
        <v>42.85</v>
      </c>
      <c r="F292" s="7" t="s">
        <v>65</v>
      </c>
      <c r="G292" s="8" t="s">
        <v>922</v>
      </c>
      <c r="H292">
        <v>0</v>
      </c>
      <c r="I292" s="8">
        <v>0</v>
      </c>
      <c r="J292" s="9">
        <v>0</v>
      </c>
      <c r="K292">
        <v>0</v>
      </c>
      <c r="L292">
        <v>0</v>
      </c>
      <c r="M292" s="10">
        <v>0</v>
      </c>
      <c r="N292" s="10">
        <v>0</v>
      </c>
      <c r="O292" s="9">
        <v>0</v>
      </c>
      <c r="P292" s="9">
        <v>0</v>
      </c>
      <c r="Q292" s="9">
        <v>0</v>
      </c>
      <c r="R292" t="s">
        <v>95</v>
      </c>
      <c r="S292" s="8">
        <v>140</v>
      </c>
      <c r="T292" t="s">
        <v>636</v>
      </c>
      <c r="U292" t="s">
        <v>1043</v>
      </c>
      <c r="V292" s="8" t="s">
        <v>97</v>
      </c>
      <c r="W292" t="s">
        <v>97</v>
      </c>
      <c r="X292" t="s">
        <v>97</v>
      </c>
      <c r="Y292" s="8">
        <v>142</v>
      </c>
      <c r="Z292" s="8">
        <v>52</v>
      </c>
      <c r="AA292" s="8">
        <v>90</v>
      </c>
    </row>
    <row r="293" ht="36" customHeight="1" spans="1:27">
      <c r="A293" t="s">
        <v>1088</v>
      </c>
      <c r="B293" t="str">
        <f>_xlfn.DISPIMG("ID_1B801A3E152A485E98FD52DF77D6B5BD",1)</f>
        <v>=DISPIMG("ID_1B801A3E152A485E98FD52DF77D6B5BD",1)</v>
      </c>
      <c r="C293" t="s">
        <v>1089</v>
      </c>
      <c r="D293" t="s">
        <v>1088</v>
      </c>
      <c r="E293" s="7">
        <v>80.74</v>
      </c>
      <c r="F293" s="7" t="s">
        <v>191</v>
      </c>
      <c r="G293" s="8" t="s">
        <v>1090</v>
      </c>
      <c r="H293">
        <v>0</v>
      </c>
      <c r="I293" s="8">
        <v>0</v>
      </c>
      <c r="J293" s="9">
        <v>0</v>
      </c>
      <c r="K293">
        <v>0</v>
      </c>
      <c r="L293">
        <v>0</v>
      </c>
      <c r="M293" s="10">
        <v>0</v>
      </c>
      <c r="N293" s="10">
        <v>0</v>
      </c>
      <c r="O293" s="9">
        <v>0</v>
      </c>
      <c r="P293" s="9">
        <v>0</v>
      </c>
      <c r="Q293" s="9">
        <v>0</v>
      </c>
      <c r="R293" t="s">
        <v>95</v>
      </c>
      <c r="S293" s="8">
        <v>114</v>
      </c>
      <c r="T293" t="s">
        <v>603</v>
      </c>
      <c r="U293" t="s">
        <v>1091</v>
      </c>
      <c r="V293" s="8" t="s">
        <v>97</v>
      </c>
      <c r="W293" t="s">
        <v>97</v>
      </c>
      <c r="X293" t="s">
        <v>97</v>
      </c>
      <c r="Y293" s="8">
        <v>148</v>
      </c>
      <c r="Z293" s="8">
        <v>95</v>
      </c>
      <c r="AA293" s="8">
        <v>53</v>
      </c>
    </row>
    <row r="294" ht="36" customHeight="1" spans="1:27">
      <c r="A294" t="s">
        <v>1092</v>
      </c>
      <c r="B294" t="str">
        <f>_xlfn.DISPIMG("ID_40D99DBEAA4C42E586D81B0FEA0FF08F",1)</f>
        <v>=DISPIMG("ID_40D99DBEAA4C42E586D81B0FEA0FF08F",1)</v>
      </c>
      <c r="C294" t="s">
        <v>1093</v>
      </c>
      <c r="D294" t="s">
        <v>1092</v>
      </c>
      <c r="E294" s="7">
        <v>89.99</v>
      </c>
      <c r="F294" s="7" t="s">
        <v>65</v>
      </c>
      <c r="G294" s="8" t="s">
        <v>517</v>
      </c>
      <c r="H294">
        <v>100</v>
      </c>
      <c r="I294" s="8">
        <v>0</v>
      </c>
      <c r="J294" s="9">
        <v>0</v>
      </c>
      <c r="K294">
        <v>0</v>
      </c>
      <c r="L294">
        <v>0</v>
      </c>
      <c r="M294" s="10">
        <v>0</v>
      </c>
      <c r="N294" s="10">
        <v>0</v>
      </c>
      <c r="O294" s="9">
        <v>0</v>
      </c>
      <c r="P294" s="9">
        <v>0</v>
      </c>
      <c r="Q294" s="9">
        <v>0</v>
      </c>
      <c r="R294" t="s">
        <v>439</v>
      </c>
      <c r="S294" s="8" t="s">
        <v>97</v>
      </c>
      <c r="T294" t="s">
        <v>97</v>
      </c>
      <c r="U294" t="s">
        <v>97</v>
      </c>
      <c r="V294" s="8">
        <v>7</v>
      </c>
      <c r="W294" t="s">
        <v>111</v>
      </c>
      <c r="X294" t="s">
        <v>1094</v>
      </c>
      <c r="Y294" s="8">
        <v>60</v>
      </c>
      <c r="Z294" s="8">
        <v>39</v>
      </c>
      <c r="AA294" s="8">
        <v>21</v>
      </c>
    </row>
    <row r="295" ht="36" customHeight="1" spans="1:27">
      <c r="A295" t="s">
        <v>1095</v>
      </c>
      <c r="B295" t="str">
        <f>_xlfn.DISPIMG("ID_B78DE1233931496DB6A17C8ADEAC9172",1)</f>
        <v>=DISPIMG("ID_B78DE1233931496DB6A17C8ADEAC9172",1)</v>
      </c>
      <c r="C295" t="s">
        <v>1096</v>
      </c>
      <c r="D295" t="s">
        <v>1095</v>
      </c>
      <c r="E295" s="7">
        <v>89.99</v>
      </c>
      <c r="F295" s="7" t="s">
        <v>27</v>
      </c>
      <c r="G295" s="8" t="s">
        <v>922</v>
      </c>
      <c r="H295">
        <v>50</v>
      </c>
      <c r="I295" s="8">
        <v>0</v>
      </c>
      <c r="J295" s="9">
        <v>0</v>
      </c>
      <c r="K295">
        <v>0</v>
      </c>
      <c r="L295">
        <v>0</v>
      </c>
      <c r="M295" s="10">
        <v>0</v>
      </c>
      <c r="N295" s="10">
        <v>0</v>
      </c>
      <c r="O295" s="9">
        <v>0</v>
      </c>
      <c r="P295" s="9">
        <v>0</v>
      </c>
      <c r="Q295" s="9">
        <v>0</v>
      </c>
      <c r="R295" t="s">
        <v>95</v>
      </c>
      <c r="S295" s="8">
        <v>138</v>
      </c>
      <c r="T295" t="s">
        <v>586</v>
      </c>
      <c r="U295" t="s">
        <v>738</v>
      </c>
      <c r="V295" s="8" t="s">
        <v>97</v>
      </c>
      <c r="W295" t="s">
        <v>97</v>
      </c>
      <c r="X295" t="s">
        <v>97</v>
      </c>
      <c r="Y295" s="8">
        <v>292</v>
      </c>
      <c r="Z295" s="8">
        <v>253</v>
      </c>
      <c r="AA295" s="8">
        <v>39</v>
      </c>
    </row>
    <row r="296" ht="36" customHeight="1" spans="1:27">
      <c r="A296" t="s">
        <v>1097</v>
      </c>
      <c r="B296" t="str">
        <f>_xlfn.DISPIMG("ID_323E97874E1448338D9EACCB57327359",1)</f>
        <v>=DISPIMG("ID_323E97874E1448338D9EACCB57327359",1)</v>
      </c>
      <c r="C296" t="s">
        <v>1098</v>
      </c>
      <c r="D296" t="s">
        <v>1097</v>
      </c>
      <c r="E296" s="7">
        <v>260</v>
      </c>
      <c r="F296" s="7" t="s">
        <v>195</v>
      </c>
      <c r="G296" s="8" t="s">
        <v>1099</v>
      </c>
      <c r="H296">
        <v>50</v>
      </c>
      <c r="I296" s="8">
        <v>0</v>
      </c>
      <c r="J296" s="9">
        <v>0</v>
      </c>
      <c r="K296">
        <v>0</v>
      </c>
      <c r="L296">
        <v>0</v>
      </c>
      <c r="M296" s="10">
        <v>0</v>
      </c>
      <c r="N296" s="10">
        <v>0</v>
      </c>
      <c r="O296" s="9">
        <v>0</v>
      </c>
      <c r="P296" s="9">
        <v>0</v>
      </c>
      <c r="Q296" s="9">
        <v>0</v>
      </c>
      <c r="R296" t="s">
        <v>95</v>
      </c>
      <c r="S296" s="8">
        <v>58</v>
      </c>
      <c r="T296" t="s">
        <v>346</v>
      </c>
      <c r="U296" t="s">
        <v>1100</v>
      </c>
      <c r="V296" s="8" t="s">
        <v>97</v>
      </c>
      <c r="W296" t="s">
        <v>97</v>
      </c>
      <c r="X296" t="s">
        <v>97</v>
      </c>
      <c r="Y296" s="8">
        <v>252</v>
      </c>
      <c r="Z296" s="8">
        <v>240</v>
      </c>
      <c r="AA296" s="8">
        <v>12</v>
      </c>
    </row>
    <row r="297" ht="36" customHeight="1" spans="1:27">
      <c r="A297" t="s">
        <v>1101</v>
      </c>
      <c r="B297" t="str">
        <f>_xlfn.DISPIMG("ID_22B4348593324BC7B13BDF4C845B0367",1)</f>
        <v>=DISPIMG("ID_22B4348593324BC7B13BDF4C845B0367",1)</v>
      </c>
      <c r="C297" t="s">
        <v>1102</v>
      </c>
      <c r="D297" t="s">
        <v>1101</v>
      </c>
      <c r="E297" s="7">
        <v>199</v>
      </c>
      <c r="F297" s="7" t="s">
        <v>257</v>
      </c>
      <c r="G297" s="8" t="s">
        <v>1013</v>
      </c>
      <c r="H297">
        <v>300</v>
      </c>
      <c r="I297" s="8">
        <v>0</v>
      </c>
      <c r="J297" s="9">
        <v>0</v>
      </c>
      <c r="K297">
        <v>0</v>
      </c>
      <c r="L297">
        <v>0</v>
      </c>
      <c r="M297" s="10">
        <v>0</v>
      </c>
      <c r="N297" s="10">
        <v>0</v>
      </c>
      <c r="O297" s="9">
        <v>0</v>
      </c>
      <c r="P297" s="9">
        <v>0</v>
      </c>
      <c r="Q297" s="9">
        <v>0</v>
      </c>
      <c r="R297" t="s">
        <v>362</v>
      </c>
      <c r="S297" s="8">
        <v>136</v>
      </c>
      <c r="T297" t="s">
        <v>178</v>
      </c>
      <c r="U297" t="s">
        <v>1006</v>
      </c>
      <c r="V297" s="8">
        <v>11</v>
      </c>
      <c r="W297" t="s">
        <v>46</v>
      </c>
      <c r="X297" t="s">
        <v>806</v>
      </c>
      <c r="Y297" s="8">
        <v>1225</v>
      </c>
      <c r="Z297" s="8">
        <v>1170</v>
      </c>
      <c r="AA297" s="8">
        <v>55</v>
      </c>
    </row>
    <row r="298" ht="36" customHeight="1" spans="1:27">
      <c r="A298" t="s">
        <v>1103</v>
      </c>
      <c r="B298" t="str">
        <f>_xlfn.DISPIMG("ID_430491746A8F4AA3BBA2DEF27B42F050",1)</f>
        <v>=DISPIMG("ID_430491746A8F4AA3BBA2DEF27B42F050",1)</v>
      </c>
      <c r="C298" t="s">
        <v>1104</v>
      </c>
      <c r="D298" t="s">
        <v>1103</v>
      </c>
      <c r="E298" s="7">
        <v>79.99</v>
      </c>
      <c r="F298" s="7" t="s">
        <v>459</v>
      </c>
      <c r="G298" s="8" t="s">
        <v>459</v>
      </c>
      <c r="H298">
        <v>0</v>
      </c>
      <c r="I298" s="8">
        <v>0</v>
      </c>
      <c r="J298" s="9">
        <v>0</v>
      </c>
      <c r="K298">
        <v>0</v>
      </c>
      <c r="L298">
        <v>0</v>
      </c>
      <c r="M298" s="10">
        <v>0</v>
      </c>
      <c r="N298" s="10">
        <v>0</v>
      </c>
      <c r="O298" s="9">
        <v>0</v>
      </c>
      <c r="P298" s="9">
        <v>0</v>
      </c>
      <c r="Q298" s="9">
        <v>0</v>
      </c>
      <c r="R298" t="s">
        <v>95</v>
      </c>
      <c r="S298" s="8">
        <v>12</v>
      </c>
      <c r="T298" t="s">
        <v>76</v>
      </c>
      <c r="U298" t="s">
        <v>980</v>
      </c>
      <c r="V298" s="8" t="s">
        <v>97</v>
      </c>
      <c r="W298" t="s">
        <v>97</v>
      </c>
      <c r="X298" t="s">
        <v>97</v>
      </c>
      <c r="Y298" s="8">
        <v>10</v>
      </c>
      <c r="Z298" s="8">
        <v>10</v>
      </c>
      <c r="AA298" s="8">
        <v>0</v>
      </c>
    </row>
    <row r="299" ht="36" customHeight="1" spans="1:27">
      <c r="A299" t="s">
        <v>1105</v>
      </c>
      <c r="B299" t="str">
        <f>_xlfn.DISPIMG("ID_5EE3581109634EFAAED84C7C5B7E7035",1)</f>
        <v>=DISPIMG("ID_5EE3581109634EFAAED84C7C5B7E7035",1)</v>
      </c>
      <c r="C299" t="s">
        <v>1106</v>
      </c>
      <c r="D299" t="s">
        <v>1105</v>
      </c>
      <c r="E299" s="7">
        <v>119.99</v>
      </c>
      <c r="F299" s="7" t="s">
        <v>36</v>
      </c>
      <c r="G299" s="8" t="s">
        <v>413</v>
      </c>
      <c r="H299">
        <v>0</v>
      </c>
      <c r="I299" s="8">
        <v>0</v>
      </c>
      <c r="J299" s="9">
        <v>0</v>
      </c>
      <c r="K299">
        <v>0</v>
      </c>
      <c r="L299">
        <v>0</v>
      </c>
      <c r="M299" s="10">
        <v>0</v>
      </c>
      <c r="N299" s="10">
        <v>0</v>
      </c>
      <c r="O299" s="9">
        <v>0</v>
      </c>
      <c r="P299" s="9">
        <v>0</v>
      </c>
      <c r="Q299" s="9">
        <v>0</v>
      </c>
      <c r="R299" t="s">
        <v>439</v>
      </c>
      <c r="S299" s="8" t="s">
        <v>97</v>
      </c>
      <c r="T299" t="s">
        <v>97</v>
      </c>
      <c r="U299" t="s">
        <v>97</v>
      </c>
      <c r="V299" s="8">
        <v>9</v>
      </c>
      <c r="W299" t="s">
        <v>104</v>
      </c>
      <c r="X299" t="s">
        <v>1107</v>
      </c>
      <c r="Y299" s="8">
        <v>39</v>
      </c>
      <c r="Z299" s="8">
        <v>7</v>
      </c>
      <c r="AA299" s="8">
        <v>32</v>
      </c>
    </row>
    <row r="300" ht="36" customHeight="1" spans="1:27">
      <c r="A300" t="s">
        <v>1108</v>
      </c>
      <c r="B300" t="str">
        <f>_xlfn.DISPIMG("ID_F77B81E2D2D74CAF9A45886FC0EBECE9",1)</f>
        <v>=DISPIMG("ID_F77B81E2D2D74CAF9A45886FC0EBECE9",1)</v>
      </c>
      <c r="C300" t="s">
        <v>1109</v>
      </c>
      <c r="D300" t="s">
        <v>1108</v>
      </c>
      <c r="E300" s="7">
        <v>59.99</v>
      </c>
      <c r="F300" s="7" t="s">
        <v>65</v>
      </c>
      <c r="G300" s="8" t="s">
        <v>406</v>
      </c>
      <c r="H300">
        <v>50</v>
      </c>
      <c r="I300" s="8">
        <v>0</v>
      </c>
      <c r="J300" s="9">
        <v>0</v>
      </c>
      <c r="K300">
        <v>0</v>
      </c>
      <c r="L300">
        <v>0</v>
      </c>
      <c r="M300" s="10">
        <v>0</v>
      </c>
      <c r="N300" s="10">
        <v>0</v>
      </c>
      <c r="O300" s="9">
        <v>0</v>
      </c>
      <c r="P300" s="9">
        <v>0</v>
      </c>
      <c r="Q300" s="9">
        <v>0</v>
      </c>
      <c r="R300" t="s">
        <v>152</v>
      </c>
      <c r="S300" s="8">
        <v>140</v>
      </c>
      <c r="T300" t="s">
        <v>636</v>
      </c>
      <c r="U300" t="s">
        <v>1110</v>
      </c>
      <c r="V300" s="8">
        <v>9</v>
      </c>
      <c r="W300" t="s">
        <v>547</v>
      </c>
      <c r="X300" t="s">
        <v>1111</v>
      </c>
      <c r="Y300" s="8">
        <v>1552</v>
      </c>
      <c r="Z300" s="8">
        <v>744</v>
      </c>
      <c r="AA300" s="8">
        <v>808</v>
      </c>
    </row>
    <row r="301" ht="36" customHeight="1" spans="1:27">
      <c r="A301" t="s">
        <v>1112</v>
      </c>
      <c r="B301" t="str">
        <f>_xlfn.DISPIMG("ID_C5FF6F4F862F46E593C72EF2C8685355",1)</f>
        <v>=DISPIMG("ID_C5FF6F4F862F46E593C72EF2C8685355",1)</v>
      </c>
      <c r="C301" t="s">
        <v>1113</v>
      </c>
      <c r="D301" t="s">
        <v>1112</v>
      </c>
      <c r="E301" s="7">
        <v>388.7</v>
      </c>
      <c r="F301" s="7" t="s">
        <v>80</v>
      </c>
      <c r="G301" s="8" t="s">
        <v>399</v>
      </c>
      <c r="H301">
        <v>0</v>
      </c>
      <c r="I301" s="8">
        <v>0</v>
      </c>
      <c r="J301" s="9">
        <v>0</v>
      </c>
      <c r="K301">
        <v>0</v>
      </c>
      <c r="L301">
        <v>0</v>
      </c>
      <c r="M301" s="10">
        <v>0</v>
      </c>
      <c r="N301" s="10">
        <v>0</v>
      </c>
      <c r="O301" s="9">
        <v>0</v>
      </c>
      <c r="P301" s="9">
        <v>0</v>
      </c>
      <c r="Q301" s="9">
        <v>0</v>
      </c>
      <c r="R301" t="s">
        <v>152</v>
      </c>
      <c r="S301" s="8">
        <v>134</v>
      </c>
      <c r="T301" t="s">
        <v>755</v>
      </c>
      <c r="U301" t="s">
        <v>1114</v>
      </c>
      <c r="V301" s="8">
        <v>6</v>
      </c>
      <c r="W301" t="s">
        <v>293</v>
      </c>
      <c r="X301" t="s">
        <v>1115</v>
      </c>
      <c r="Y301" s="8">
        <v>169</v>
      </c>
      <c r="Z301" s="8">
        <v>151</v>
      </c>
      <c r="AA301" s="8">
        <v>18</v>
      </c>
    </row>
    <row r="302" ht="36" customHeight="1" spans="1:27">
      <c r="A302" t="s">
        <v>1116</v>
      </c>
      <c r="B302" t="str">
        <f>_xlfn.DISPIMG("ID_CA0D6D4C85BE4CD29E1513BC0BF9A9E4",1)</f>
        <v>=DISPIMG("ID_CA0D6D4C85BE4CD29E1513BC0BF9A9E4",1)</v>
      </c>
      <c r="C302" t="s">
        <v>1117</v>
      </c>
      <c r="D302" t="s">
        <v>1116</v>
      </c>
      <c r="E302" s="7">
        <v>98</v>
      </c>
      <c r="F302" s="7" t="s">
        <v>27</v>
      </c>
      <c r="G302" s="8" t="s">
        <v>329</v>
      </c>
      <c r="H302">
        <v>100</v>
      </c>
      <c r="I302" s="8">
        <v>0</v>
      </c>
      <c r="J302" s="9">
        <v>0</v>
      </c>
      <c r="K302">
        <v>0</v>
      </c>
      <c r="L302">
        <v>0</v>
      </c>
      <c r="M302" s="10">
        <v>0</v>
      </c>
      <c r="N302" s="10">
        <v>0</v>
      </c>
      <c r="O302" s="9">
        <v>0</v>
      </c>
      <c r="P302" s="9">
        <v>0</v>
      </c>
      <c r="Q302" s="9">
        <v>0</v>
      </c>
      <c r="R302" t="s">
        <v>362</v>
      </c>
      <c r="S302" s="8">
        <v>94</v>
      </c>
      <c r="T302" t="s">
        <v>1118</v>
      </c>
      <c r="U302" t="s">
        <v>738</v>
      </c>
      <c r="V302" s="8">
        <v>8</v>
      </c>
      <c r="W302" t="s">
        <v>147</v>
      </c>
      <c r="X302" t="s">
        <v>1119</v>
      </c>
      <c r="Y302" s="8">
        <v>16</v>
      </c>
      <c r="Z302" s="8">
        <v>7</v>
      </c>
      <c r="AA302" s="8">
        <v>9</v>
      </c>
    </row>
    <row r="303" ht="36" customHeight="1" spans="1:27">
      <c r="A303" t="s">
        <v>1120</v>
      </c>
      <c r="B303" t="str">
        <f>_xlfn.DISPIMG("ID_110326D40AAC44689B3B50EC334ED380",1)</f>
        <v>=DISPIMG("ID_110326D40AAC44689B3B50EC334ED380",1)</v>
      </c>
      <c r="C303" t="s">
        <v>1121</v>
      </c>
      <c r="D303" t="s">
        <v>1120</v>
      </c>
      <c r="E303" s="7">
        <v>129.99</v>
      </c>
      <c r="F303" s="7" t="s">
        <v>459</v>
      </c>
      <c r="G303" s="8" t="s">
        <v>459</v>
      </c>
      <c r="H303">
        <v>0</v>
      </c>
      <c r="I303" s="8">
        <v>0</v>
      </c>
      <c r="J303" s="9">
        <v>0</v>
      </c>
      <c r="K303">
        <v>0</v>
      </c>
      <c r="L303">
        <v>0</v>
      </c>
      <c r="M303" s="10">
        <v>0</v>
      </c>
      <c r="N303" s="10">
        <v>0</v>
      </c>
      <c r="O303" s="9">
        <v>0</v>
      </c>
      <c r="P303" s="9">
        <v>0</v>
      </c>
      <c r="Q303" s="9">
        <v>0</v>
      </c>
      <c r="R303" t="s">
        <v>67</v>
      </c>
      <c r="S303" s="8">
        <v>112</v>
      </c>
      <c r="T303" t="s">
        <v>895</v>
      </c>
      <c r="U303" t="s">
        <v>617</v>
      </c>
      <c r="V303" s="8">
        <v>20</v>
      </c>
      <c r="W303" t="s">
        <v>231</v>
      </c>
      <c r="X303" t="s">
        <v>1074</v>
      </c>
      <c r="Y303" s="8">
        <v>3</v>
      </c>
      <c r="Z303" s="8">
        <v>2</v>
      </c>
      <c r="AA303" s="8">
        <v>1</v>
      </c>
    </row>
    <row r="304" ht="36" customHeight="1" spans="1:27">
      <c r="A304" t="s">
        <v>1122</v>
      </c>
      <c r="B304" t="str">
        <f>_xlfn.DISPIMG("ID_629C8224672E44298928B5504155B1B9",1)</f>
        <v>=DISPIMG("ID_629C8224672E44298928B5504155B1B9",1)</v>
      </c>
      <c r="C304" t="s">
        <v>1123</v>
      </c>
      <c r="D304" t="s">
        <v>1122</v>
      </c>
      <c r="E304" s="7">
        <v>56.99</v>
      </c>
      <c r="F304" s="7" t="s">
        <v>459</v>
      </c>
      <c r="G304" s="8" t="s">
        <v>459</v>
      </c>
      <c r="H304">
        <v>0</v>
      </c>
      <c r="I304" s="8">
        <v>0</v>
      </c>
      <c r="J304" s="9">
        <v>0</v>
      </c>
      <c r="K304">
        <v>0</v>
      </c>
      <c r="L304">
        <v>0</v>
      </c>
      <c r="M304" s="10">
        <v>0</v>
      </c>
      <c r="N304" s="10">
        <v>0</v>
      </c>
      <c r="O304" s="9">
        <v>0</v>
      </c>
      <c r="P304" s="9">
        <v>0</v>
      </c>
      <c r="Q304" s="9">
        <v>0</v>
      </c>
      <c r="R304" t="s">
        <v>95</v>
      </c>
      <c r="S304" s="8">
        <v>7</v>
      </c>
      <c r="T304" t="s">
        <v>111</v>
      </c>
      <c r="U304" t="s">
        <v>726</v>
      </c>
      <c r="V304" s="8" t="s">
        <v>97</v>
      </c>
      <c r="W304" t="s">
        <v>97</v>
      </c>
      <c r="X304" t="s">
        <v>97</v>
      </c>
      <c r="Y304" s="8">
        <v>177</v>
      </c>
      <c r="Z304" s="8">
        <v>173</v>
      </c>
      <c r="AA304" s="8">
        <v>4</v>
      </c>
    </row>
    <row r="305" ht="36" customHeight="1" spans="1:27">
      <c r="A305" t="s">
        <v>1124</v>
      </c>
      <c r="B305" t="str">
        <f>_xlfn.DISPIMG("ID_9C964E984AF7438C83F9CBFDB64A54B3",1)</f>
        <v>=DISPIMG("ID_9C964E984AF7438C83F9CBFDB64A54B3",1)</v>
      </c>
      <c r="C305" t="s">
        <v>1125</v>
      </c>
      <c r="D305" t="s">
        <v>1124</v>
      </c>
      <c r="E305" s="7">
        <v>69.99</v>
      </c>
      <c r="F305" s="7" t="s">
        <v>214</v>
      </c>
      <c r="G305" s="8" t="s">
        <v>887</v>
      </c>
      <c r="H305">
        <v>0</v>
      </c>
      <c r="I305" s="8">
        <v>0</v>
      </c>
      <c r="J305" s="9">
        <v>0</v>
      </c>
      <c r="K305">
        <v>0</v>
      </c>
      <c r="L305">
        <v>0</v>
      </c>
      <c r="M305" s="10">
        <v>0</v>
      </c>
      <c r="N305" s="10">
        <v>0</v>
      </c>
      <c r="O305" s="9">
        <v>0</v>
      </c>
      <c r="P305" s="9">
        <v>0</v>
      </c>
      <c r="Q305" s="9">
        <v>0</v>
      </c>
      <c r="R305" t="s">
        <v>606</v>
      </c>
      <c r="S305" s="8" t="s">
        <v>97</v>
      </c>
      <c r="T305" t="s">
        <v>97</v>
      </c>
      <c r="U305" t="s">
        <v>97</v>
      </c>
      <c r="V305" s="8">
        <v>16</v>
      </c>
      <c r="W305" t="s">
        <v>502</v>
      </c>
      <c r="X305" t="s">
        <v>880</v>
      </c>
      <c r="Y305" s="8">
        <v>241</v>
      </c>
      <c r="Z305" s="8">
        <v>149</v>
      </c>
      <c r="AA305" s="8">
        <v>92</v>
      </c>
    </row>
    <row r="306" ht="36" customHeight="1" spans="1:27">
      <c r="A306" t="s">
        <v>1126</v>
      </c>
      <c r="B306" t="str">
        <f>_xlfn.DISPIMG("ID_5EEE13C0A543441AB4CF6B1B4FC9AF7C",1)</f>
        <v>=DISPIMG("ID_5EEE13C0A543441AB4CF6B1B4FC9AF7C",1)</v>
      </c>
      <c r="C306" t="s">
        <v>505</v>
      </c>
      <c r="D306" t="s">
        <v>1126</v>
      </c>
      <c r="E306" s="7">
        <v>88.99</v>
      </c>
      <c r="F306" s="7" t="s">
        <v>1127</v>
      </c>
      <c r="G306" s="8" t="s">
        <v>922</v>
      </c>
      <c r="H306">
        <v>0</v>
      </c>
      <c r="I306" s="8">
        <v>0</v>
      </c>
      <c r="J306" s="9">
        <v>0</v>
      </c>
      <c r="K306">
        <v>0</v>
      </c>
      <c r="L306">
        <v>0</v>
      </c>
      <c r="M306" s="10">
        <v>0</v>
      </c>
      <c r="N306" s="10">
        <v>0</v>
      </c>
      <c r="O306" s="9">
        <v>0</v>
      </c>
      <c r="P306" s="9">
        <v>0</v>
      </c>
      <c r="Q306" s="9">
        <v>0</v>
      </c>
      <c r="R306" t="s">
        <v>152</v>
      </c>
      <c r="S306" s="8">
        <v>57</v>
      </c>
      <c r="T306" t="s">
        <v>267</v>
      </c>
      <c r="U306" t="s">
        <v>926</v>
      </c>
      <c r="V306" s="8">
        <v>4</v>
      </c>
      <c r="W306" t="s">
        <v>40</v>
      </c>
      <c r="X306" t="s">
        <v>1128</v>
      </c>
      <c r="Y306" s="8">
        <v>1</v>
      </c>
      <c r="Z306" s="8">
        <v>1</v>
      </c>
      <c r="AA306" s="8">
        <v>0</v>
      </c>
    </row>
    <row r="307" ht="36" customHeight="1" spans="1:27">
      <c r="A307" t="s">
        <v>1129</v>
      </c>
      <c r="B307" t="str">
        <f>_xlfn.DISPIMG("ID_49976A81004549758BFF54C546505A63",1)</f>
        <v>=DISPIMG("ID_49976A81004549758BFF54C546505A63",1)</v>
      </c>
      <c r="C307" t="s">
        <v>1130</v>
      </c>
      <c r="D307" t="s">
        <v>1129</v>
      </c>
      <c r="E307" s="7">
        <v>99.99</v>
      </c>
      <c r="F307" s="7" t="s">
        <v>65</v>
      </c>
      <c r="G307" s="8" t="s">
        <v>406</v>
      </c>
      <c r="H307">
        <v>50</v>
      </c>
      <c r="I307" s="8">
        <v>0</v>
      </c>
      <c r="J307" s="9">
        <v>0</v>
      </c>
      <c r="K307">
        <v>0</v>
      </c>
      <c r="L307">
        <v>0</v>
      </c>
      <c r="M307" s="10">
        <v>0</v>
      </c>
      <c r="N307" s="10">
        <v>0</v>
      </c>
      <c r="O307" s="9">
        <v>0</v>
      </c>
      <c r="P307" s="9">
        <v>0</v>
      </c>
      <c r="Q307" s="9">
        <v>0</v>
      </c>
      <c r="R307" t="s">
        <v>1131</v>
      </c>
      <c r="S307" s="8">
        <v>143</v>
      </c>
      <c r="T307" t="s">
        <v>513</v>
      </c>
      <c r="U307" t="s">
        <v>827</v>
      </c>
      <c r="V307" s="8" t="s">
        <v>97</v>
      </c>
      <c r="W307" t="s">
        <v>97</v>
      </c>
      <c r="X307" t="s">
        <v>97</v>
      </c>
      <c r="Y307" s="8">
        <v>302</v>
      </c>
      <c r="Z307" s="8">
        <v>231</v>
      </c>
      <c r="AA307" s="8">
        <v>71</v>
      </c>
    </row>
    <row r="308" ht="36" customHeight="1" spans="1:27">
      <c r="A308" t="s">
        <v>1132</v>
      </c>
      <c r="B308" t="str">
        <f>_xlfn.DISPIMG("ID_98F666309B794281ACB551CDE46DFC16",1)</f>
        <v>=DISPIMG("ID_98F666309B794281ACB551CDE46DFC16",1)</v>
      </c>
      <c r="C308" t="s">
        <v>1133</v>
      </c>
      <c r="D308" t="s">
        <v>1132</v>
      </c>
      <c r="E308" s="7">
        <v>98.99</v>
      </c>
      <c r="F308" s="7" t="s">
        <v>65</v>
      </c>
      <c r="G308" s="8" t="s">
        <v>182</v>
      </c>
      <c r="H308">
        <v>0</v>
      </c>
      <c r="I308" s="8">
        <v>0</v>
      </c>
      <c r="J308" s="9">
        <v>0</v>
      </c>
      <c r="K308">
        <v>0</v>
      </c>
      <c r="L308">
        <v>0</v>
      </c>
      <c r="M308" s="10">
        <v>0</v>
      </c>
      <c r="N308" s="10">
        <v>0</v>
      </c>
      <c r="O308" s="9">
        <v>0</v>
      </c>
      <c r="P308" s="9">
        <v>0</v>
      </c>
      <c r="Q308" s="9">
        <v>0</v>
      </c>
      <c r="R308" t="s">
        <v>439</v>
      </c>
      <c r="S308" s="8" t="s">
        <v>97</v>
      </c>
      <c r="T308" t="s">
        <v>97</v>
      </c>
      <c r="U308" t="s">
        <v>97</v>
      </c>
      <c r="V308" s="8">
        <v>5</v>
      </c>
      <c r="W308" t="s">
        <v>117</v>
      </c>
      <c r="X308" t="s">
        <v>1134</v>
      </c>
      <c r="Y308" s="8">
        <v>9</v>
      </c>
      <c r="Z308" s="8">
        <v>9</v>
      </c>
      <c r="AA308" s="8">
        <v>0</v>
      </c>
    </row>
    <row r="309" ht="36" customHeight="1" spans="1:27">
      <c r="A309" t="s">
        <v>1135</v>
      </c>
      <c r="B309" t="str">
        <f>_xlfn.DISPIMG("ID_F626F07AD01B4CDF9E50607278D2E6E7",1)</f>
        <v>=DISPIMG("ID_F626F07AD01B4CDF9E50607278D2E6E7",1)</v>
      </c>
      <c r="C309" t="s">
        <v>1136</v>
      </c>
      <c r="D309" t="s">
        <v>1135</v>
      </c>
      <c r="E309" s="7">
        <v>0</v>
      </c>
      <c r="F309" s="7" t="s">
        <v>459</v>
      </c>
      <c r="G309" s="8" t="s">
        <v>459</v>
      </c>
      <c r="H309">
        <v>0</v>
      </c>
      <c r="I309" s="8">
        <v>0</v>
      </c>
      <c r="J309" s="9">
        <v>0</v>
      </c>
      <c r="K309">
        <v>0</v>
      </c>
      <c r="L309">
        <v>0</v>
      </c>
      <c r="M309" s="10">
        <v>0</v>
      </c>
      <c r="N309" s="10">
        <v>0</v>
      </c>
      <c r="O309" s="9">
        <v>0</v>
      </c>
      <c r="P309" s="9">
        <v>0</v>
      </c>
      <c r="Q309" s="9">
        <v>0</v>
      </c>
      <c r="R309" t="s">
        <v>95</v>
      </c>
      <c r="S309" s="8">
        <v>128</v>
      </c>
      <c r="T309" t="s">
        <v>564</v>
      </c>
      <c r="U309" t="s">
        <v>484</v>
      </c>
      <c r="V309" s="8" t="s">
        <v>97</v>
      </c>
      <c r="W309" t="s">
        <v>97</v>
      </c>
      <c r="X309" t="s">
        <v>97</v>
      </c>
      <c r="Y309" s="8">
        <v>0</v>
      </c>
      <c r="Z309" s="8">
        <v>0</v>
      </c>
      <c r="AA309" s="8">
        <v>0</v>
      </c>
    </row>
    <row r="310" ht="36" customHeight="1" spans="1:27">
      <c r="A310" t="s">
        <v>1137</v>
      </c>
      <c r="B310" t="str">
        <f>_xlfn.DISPIMG("ID_1B4244FAA47341D7A9B42464EAE9095D",1)</f>
        <v>=DISPIMG("ID_1B4244FAA47341D7A9B42464EAE9095D",1)</v>
      </c>
      <c r="C310" t="s">
        <v>1138</v>
      </c>
      <c r="D310" t="s">
        <v>1137</v>
      </c>
      <c r="E310" s="7">
        <v>79.99</v>
      </c>
      <c r="F310" s="7" t="s">
        <v>27</v>
      </c>
      <c r="G310" s="8" t="s">
        <v>478</v>
      </c>
      <c r="H310">
        <v>50</v>
      </c>
      <c r="I310" s="8">
        <v>0</v>
      </c>
      <c r="J310" s="9">
        <v>0</v>
      </c>
      <c r="K310">
        <v>0</v>
      </c>
      <c r="L310">
        <v>0</v>
      </c>
      <c r="M310" s="10">
        <v>0</v>
      </c>
      <c r="N310" s="10">
        <v>0</v>
      </c>
      <c r="O310" s="9">
        <v>0</v>
      </c>
      <c r="P310" s="9">
        <v>0</v>
      </c>
      <c r="Q310" s="9">
        <v>0</v>
      </c>
      <c r="R310" t="s">
        <v>95</v>
      </c>
      <c r="S310" s="8">
        <v>119</v>
      </c>
      <c r="T310" t="s">
        <v>1139</v>
      </c>
      <c r="U310" t="s">
        <v>638</v>
      </c>
      <c r="V310" s="8" t="s">
        <v>97</v>
      </c>
      <c r="W310" t="s">
        <v>97</v>
      </c>
      <c r="X310" t="s">
        <v>97</v>
      </c>
      <c r="Y310" s="8">
        <v>12</v>
      </c>
      <c r="Z310" s="8">
        <v>12</v>
      </c>
      <c r="AA310" s="8">
        <v>0</v>
      </c>
    </row>
    <row r="311" ht="36" customHeight="1" spans="1:27">
      <c r="A311" t="s">
        <v>1140</v>
      </c>
      <c r="B311" t="str">
        <f>_xlfn.DISPIMG("ID_81E0F19799CC4D93A0811D5C2AA9D554",1)</f>
        <v>=DISPIMG("ID_81E0F19799CC4D93A0811D5C2AA9D554",1)</v>
      </c>
      <c r="C311" t="s">
        <v>1141</v>
      </c>
      <c r="D311" t="s">
        <v>1140</v>
      </c>
      <c r="E311" s="7">
        <v>129.99</v>
      </c>
      <c r="F311" s="7" t="s">
        <v>115</v>
      </c>
      <c r="G311" s="8" t="s">
        <v>100</v>
      </c>
      <c r="H311">
        <v>0</v>
      </c>
      <c r="I311" s="8">
        <v>0</v>
      </c>
      <c r="J311" s="9">
        <v>0</v>
      </c>
      <c r="K311">
        <v>0</v>
      </c>
      <c r="L311">
        <v>0</v>
      </c>
      <c r="M311" s="10">
        <v>0</v>
      </c>
      <c r="N311" s="10">
        <v>0</v>
      </c>
      <c r="O311" s="9">
        <v>0</v>
      </c>
      <c r="P311" s="9">
        <v>0</v>
      </c>
      <c r="Q311" s="9">
        <v>0</v>
      </c>
      <c r="R311" t="s">
        <v>606</v>
      </c>
      <c r="S311" s="8" t="s">
        <v>97</v>
      </c>
      <c r="T311" t="s">
        <v>97</v>
      </c>
      <c r="U311" t="s">
        <v>97</v>
      </c>
      <c r="V311" s="8">
        <v>19</v>
      </c>
      <c r="W311" t="s">
        <v>595</v>
      </c>
      <c r="X311" t="s">
        <v>1142</v>
      </c>
      <c r="Y311" s="8">
        <v>369</v>
      </c>
      <c r="Z311" s="8">
        <v>367</v>
      </c>
      <c r="AA311" s="8">
        <v>2</v>
      </c>
    </row>
    <row r="312" ht="36" customHeight="1" spans="1:27">
      <c r="A312" t="s">
        <v>1143</v>
      </c>
      <c r="B312" t="str">
        <f>_xlfn.DISPIMG("ID_CA8D5C334B1A477DA5C9A468E6435540",1)</f>
        <v>=DISPIMG("ID_CA8D5C334B1A477DA5C9A468E6435540",1)</v>
      </c>
      <c r="C312" t="s">
        <v>1144</v>
      </c>
      <c r="D312" t="s">
        <v>1143</v>
      </c>
      <c r="E312" s="7">
        <v>107.99</v>
      </c>
      <c r="F312" s="7" t="s">
        <v>195</v>
      </c>
      <c r="G312" s="8" t="s">
        <v>922</v>
      </c>
      <c r="H312">
        <v>400</v>
      </c>
      <c r="I312" s="8">
        <v>0</v>
      </c>
      <c r="J312" s="9">
        <v>0</v>
      </c>
      <c r="K312">
        <v>0</v>
      </c>
      <c r="L312">
        <v>0</v>
      </c>
      <c r="M312" s="10">
        <v>0</v>
      </c>
      <c r="N312" s="10">
        <v>0</v>
      </c>
      <c r="O312" s="9">
        <v>0</v>
      </c>
      <c r="P312" s="9">
        <v>0</v>
      </c>
      <c r="Q312" s="9">
        <v>0</v>
      </c>
      <c r="R312" t="s">
        <v>169</v>
      </c>
      <c r="S312" s="8">
        <v>38</v>
      </c>
      <c r="T312" t="s">
        <v>384</v>
      </c>
      <c r="U312" t="s">
        <v>465</v>
      </c>
      <c r="V312" s="8">
        <v>3</v>
      </c>
      <c r="W312" t="s">
        <v>56</v>
      </c>
      <c r="X312" t="s">
        <v>610</v>
      </c>
      <c r="Y312" s="8">
        <v>1209</v>
      </c>
      <c r="Z312" s="8">
        <v>1209</v>
      </c>
      <c r="AA312" s="8">
        <v>0</v>
      </c>
    </row>
    <row r="313" ht="36" customHeight="1" spans="1:27">
      <c r="A313" t="s">
        <v>1145</v>
      </c>
      <c r="B313" t="str">
        <f>_xlfn.DISPIMG("ID_89AE5ABD57B7430AB02E5303B6F8CBF8",1)</f>
        <v>=DISPIMG("ID_89AE5ABD57B7430AB02E5303B6F8CBF8",1)</v>
      </c>
      <c r="C313" t="s">
        <v>1146</v>
      </c>
      <c r="D313" t="s">
        <v>1145</v>
      </c>
      <c r="E313" s="7">
        <v>45.49</v>
      </c>
      <c r="F313" s="7" t="s">
        <v>65</v>
      </c>
      <c r="G313" s="8" t="s">
        <v>540</v>
      </c>
      <c r="H313">
        <v>300</v>
      </c>
      <c r="I313" s="8">
        <v>0</v>
      </c>
      <c r="J313" s="9">
        <v>0</v>
      </c>
      <c r="K313">
        <v>0</v>
      </c>
      <c r="L313">
        <v>0</v>
      </c>
      <c r="M313" s="10">
        <v>0</v>
      </c>
      <c r="N313" s="10">
        <v>0</v>
      </c>
      <c r="O313" s="9">
        <v>0</v>
      </c>
      <c r="P313" s="9">
        <v>0</v>
      </c>
      <c r="Q313" s="9">
        <v>0</v>
      </c>
      <c r="R313" t="s">
        <v>1147</v>
      </c>
      <c r="S313" s="8">
        <v>135</v>
      </c>
      <c r="T313" t="s">
        <v>664</v>
      </c>
      <c r="U313" t="s">
        <v>1148</v>
      </c>
      <c r="V313" s="8" t="s">
        <v>97</v>
      </c>
      <c r="W313" t="s">
        <v>97</v>
      </c>
      <c r="X313" t="s">
        <v>97</v>
      </c>
      <c r="Y313" s="8">
        <v>275</v>
      </c>
      <c r="Z313" s="8">
        <v>275</v>
      </c>
      <c r="AA313" s="8">
        <v>0</v>
      </c>
    </row>
    <row r="314" ht="36" customHeight="1" spans="1:27">
      <c r="A314" t="s">
        <v>1149</v>
      </c>
      <c r="B314" t="str">
        <f>_xlfn.DISPIMG("ID_F1D3FDE88AE346A0A66446834CBDA9C5",1)</f>
        <v>=DISPIMG("ID_F1D3FDE88AE346A0A66446834CBDA9C5",1)</v>
      </c>
      <c r="C314" t="s">
        <v>1150</v>
      </c>
      <c r="D314" t="s">
        <v>1149</v>
      </c>
      <c r="E314" s="7">
        <v>79.99</v>
      </c>
      <c r="F314" s="7" t="s">
        <v>27</v>
      </c>
      <c r="G314" s="8" t="s">
        <v>44</v>
      </c>
      <c r="H314">
        <v>400</v>
      </c>
      <c r="I314" s="8">
        <v>0</v>
      </c>
      <c r="J314" s="9">
        <v>0</v>
      </c>
      <c r="K314">
        <v>0</v>
      </c>
      <c r="L314">
        <v>0</v>
      </c>
      <c r="M314" s="10">
        <v>0</v>
      </c>
      <c r="N314" s="10">
        <v>0</v>
      </c>
      <c r="O314" s="9">
        <v>0</v>
      </c>
      <c r="P314" s="9">
        <v>0</v>
      </c>
      <c r="Q314" s="9">
        <v>0</v>
      </c>
      <c r="R314" t="s">
        <v>38</v>
      </c>
      <c r="S314" s="8">
        <v>98</v>
      </c>
      <c r="T314" t="s">
        <v>135</v>
      </c>
      <c r="U314" t="s">
        <v>1151</v>
      </c>
      <c r="V314" s="8">
        <v>8</v>
      </c>
      <c r="W314" t="s">
        <v>147</v>
      </c>
      <c r="X314" t="s">
        <v>693</v>
      </c>
      <c r="Y314" s="8">
        <v>893</v>
      </c>
      <c r="Z314" s="8">
        <v>893</v>
      </c>
      <c r="AA314" s="8">
        <v>0</v>
      </c>
    </row>
    <row r="315" ht="36" customHeight="1" spans="1:27">
      <c r="A315" t="s">
        <v>1152</v>
      </c>
      <c r="B315" t="str">
        <f>_xlfn.DISPIMG("ID_4889D6676CCE45E1BF1D88AF8F32B3A9",1)</f>
        <v>=DISPIMG("ID_4889D6676CCE45E1BF1D88AF8F32B3A9",1)</v>
      </c>
      <c r="C315" t="s">
        <v>1153</v>
      </c>
      <c r="D315" t="s">
        <v>1152</v>
      </c>
      <c r="E315" s="7">
        <v>69</v>
      </c>
      <c r="F315" s="7" t="s">
        <v>654</v>
      </c>
      <c r="G315" s="8" t="s">
        <v>226</v>
      </c>
      <c r="H315">
        <v>0</v>
      </c>
      <c r="I315" s="8">
        <v>0</v>
      </c>
      <c r="J315" s="9">
        <v>0</v>
      </c>
      <c r="K315">
        <v>0</v>
      </c>
      <c r="L315">
        <v>0</v>
      </c>
      <c r="M315" s="10">
        <v>0</v>
      </c>
      <c r="N315" s="10">
        <v>0</v>
      </c>
      <c r="O315" s="9">
        <v>0</v>
      </c>
      <c r="P315" s="9">
        <v>0</v>
      </c>
      <c r="Q315" s="9">
        <v>0</v>
      </c>
      <c r="R315" t="s">
        <v>95</v>
      </c>
      <c r="S315" s="8">
        <v>77</v>
      </c>
      <c r="T315" t="s">
        <v>632</v>
      </c>
      <c r="U315" t="s">
        <v>1154</v>
      </c>
      <c r="V315" s="8" t="s">
        <v>97</v>
      </c>
      <c r="W315" t="s">
        <v>97</v>
      </c>
      <c r="X315" t="s">
        <v>97</v>
      </c>
      <c r="Y315" s="8">
        <v>11</v>
      </c>
      <c r="Z315" s="8">
        <v>11</v>
      </c>
      <c r="AA315" s="8">
        <v>0</v>
      </c>
    </row>
    <row r="316" ht="36" customHeight="1" spans="1:27">
      <c r="A316" t="s">
        <v>1155</v>
      </c>
      <c r="B316" t="str">
        <f>_xlfn.DISPIMG("ID_C4F1D1A953F04E03882A30469C56A6BA",1)</f>
        <v>=DISPIMG("ID_C4F1D1A953F04E03882A30469C56A6BA",1)</v>
      </c>
      <c r="C316" t="s">
        <v>1156</v>
      </c>
      <c r="D316" t="s">
        <v>1155</v>
      </c>
      <c r="E316" s="7">
        <v>269</v>
      </c>
      <c r="F316" s="7" t="s">
        <v>65</v>
      </c>
      <c r="G316" s="8" t="s">
        <v>372</v>
      </c>
      <c r="H316">
        <v>50</v>
      </c>
      <c r="I316" s="8">
        <v>0</v>
      </c>
      <c r="J316" s="9">
        <v>0</v>
      </c>
      <c r="K316">
        <v>0</v>
      </c>
      <c r="L316">
        <v>0</v>
      </c>
      <c r="M316" s="10">
        <v>0</v>
      </c>
      <c r="N316" s="10">
        <v>0</v>
      </c>
      <c r="O316" s="9">
        <v>0</v>
      </c>
      <c r="P316" s="9">
        <v>0</v>
      </c>
      <c r="Q316" s="9">
        <v>0</v>
      </c>
      <c r="R316" t="s">
        <v>403</v>
      </c>
      <c r="S316" s="8" t="s">
        <v>97</v>
      </c>
      <c r="T316" t="s">
        <v>97</v>
      </c>
      <c r="U316" t="s">
        <v>97</v>
      </c>
      <c r="V316" s="8">
        <v>18</v>
      </c>
      <c r="W316" t="s">
        <v>293</v>
      </c>
      <c r="X316" t="s">
        <v>1157</v>
      </c>
      <c r="Y316" s="8">
        <v>518</v>
      </c>
      <c r="Z316" s="8">
        <v>433</v>
      </c>
      <c r="AA316" s="8">
        <v>85</v>
      </c>
    </row>
    <row r="317" ht="36" customHeight="1" spans="1:27">
      <c r="A317" t="s">
        <v>1158</v>
      </c>
      <c r="B317" t="str">
        <f>_xlfn.DISPIMG("ID_2104D368754E4126BC0CE17CBB559AF1",1)</f>
        <v>=DISPIMG("ID_2104D368754E4126BC0CE17CBB559AF1",1)</v>
      </c>
      <c r="C317" t="s">
        <v>1159</v>
      </c>
      <c r="D317" t="s">
        <v>1158</v>
      </c>
      <c r="E317" s="7">
        <v>80.99</v>
      </c>
      <c r="F317" s="7" t="s">
        <v>257</v>
      </c>
      <c r="G317" s="8" t="s">
        <v>438</v>
      </c>
      <c r="H317">
        <v>0</v>
      </c>
      <c r="I317" s="8">
        <v>0</v>
      </c>
      <c r="J317" s="9">
        <v>0</v>
      </c>
      <c r="K317">
        <v>0</v>
      </c>
      <c r="L317">
        <v>0</v>
      </c>
      <c r="M317" s="10">
        <v>0</v>
      </c>
      <c r="N317" s="10">
        <v>0</v>
      </c>
      <c r="O317" s="9">
        <v>0</v>
      </c>
      <c r="P317" s="9">
        <v>0</v>
      </c>
      <c r="Q317" s="9">
        <v>0</v>
      </c>
      <c r="R317" t="s">
        <v>606</v>
      </c>
      <c r="S317" s="8" t="s">
        <v>97</v>
      </c>
      <c r="T317" t="s">
        <v>97</v>
      </c>
      <c r="U317" t="s">
        <v>97</v>
      </c>
      <c r="V317" s="8">
        <v>12</v>
      </c>
      <c r="W317" t="s">
        <v>351</v>
      </c>
      <c r="X317" t="s">
        <v>1160</v>
      </c>
      <c r="Y317" s="8">
        <v>32</v>
      </c>
      <c r="Z317" s="8">
        <v>7</v>
      </c>
      <c r="AA317" s="8">
        <v>25</v>
      </c>
    </row>
  </sheetData>
  <pageMargins left="0.75" right="0.75" top="1" bottom="1" header="0.5" footer="0.5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4"/>
  <sheetViews>
    <sheetView workbookViewId="0">
      <selection activeCell="A1" sqref="A1:B1"/>
    </sheetView>
  </sheetViews>
  <sheetFormatPr defaultColWidth="9.81818181818182" defaultRowHeight="14.5" outlineLevelRow="3" outlineLevelCol="1"/>
  <cols>
    <col min="1" max="2" width="70" customWidth="1"/>
  </cols>
  <sheetData>
    <row r="1" ht="60" customHeight="1"/>
    <row r="2" ht="60" customHeight="1" spans="1:2">
      <c r="A2" s="1" t="s">
        <v>1161</v>
      </c>
      <c r="B2" s="2" t="s">
        <v>1162</v>
      </c>
    </row>
    <row r="3" ht="60" customHeight="1" spans="1:2">
      <c r="A3" s="1" t="s">
        <v>1163</v>
      </c>
      <c r="B3" s="2" t="s">
        <v>1164</v>
      </c>
    </row>
    <row r="4" ht="190" customHeight="1" spans="1:2">
      <c r="A4" s="3" t="s">
        <v>1165</v>
      </c>
      <c r="B4" s="4"/>
    </row>
  </sheetData>
  <mergeCells count="1">
    <mergeCell ref="A1:B1"/>
  </mergeCells>
  <hyperlinks>
    <hyperlink ref="B2" r:id="rId2" display="https://www.xiyouzhaoci.com/?chan=excel" tooltip="https://www.xiyouzhaoci.com/?chan=excel"/>
    <hyperlink ref="B3" r:id="rId3" display="https://knowledge.xiyouzhaoci.com/extension/" tooltip="https://knowledge.xiyouzhaoci.com/extension/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2026-01-14~2026-01-20</vt:lpstr>
      <vt:lpstr>备注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加量</cp:lastModifiedBy>
  <dcterms:created xsi:type="dcterms:W3CDTF">2006-09-16T00:00:00Z</dcterms:created>
  <dcterms:modified xsi:type="dcterms:W3CDTF">2026-01-22T05:29:50Z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AF8A0884C64645DD8A12058A501B8954_12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