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zhou\Desktop\CET开发\CET\"/>
    </mc:Choice>
  </mc:AlternateContent>
  <bookViews>
    <workbookView xWindow="0" yWindow="0" windowWidth="23040" windowHeight="8784" tabRatio="597"/>
  </bookViews>
  <sheets>
    <sheet name="input" sheetId="4" r:id="rId1"/>
    <sheet name="output" sheetId="5" r:id="rId2"/>
    <sheet name="暴露浓度" sheetId="1" r:id="rId3"/>
    <sheet name="暴露参数" sheetId="2" r:id="rId4"/>
    <sheet name="排放率（暂时未使用）" sheetId="3" r:id="rId5"/>
  </sheets>
  <externalReferences>
    <externalReference r:id="rId6"/>
  </externalReferences>
  <definedNames>
    <definedName name="_1_kvolat">暴露浓度!#REF!</definedName>
    <definedName name="ADDinh">暴露浓度!$C$121</definedName>
    <definedName name="ADDoral_fish">暴露浓度!$C$123</definedName>
    <definedName name="ADDoral_soil">暴露浓度!$C$122</definedName>
    <definedName name="ADDoral_water">暴露浓度!$C$124</definedName>
    <definedName name="ADDT">暴露浓度!$C$125</definedName>
    <definedName name="APPLsludge">暴露参数!$C$37</definedName>
    <definedName name="AT">暴露参数!$C$47</definedName>
    <definedName name="BCF.fish">暴露浓度!$C$39</definedName>
    <definedName name="BCF.worm">暴露浓度!$C$42</definedName>
    <definedName name="Biodeg">暴露浓度!$C$14</definedName>
    <definedName name="BMF.1">暴露浓度!$C$40</definedName>
    <definedName name="BMF.2">暴露浓度!$C$41</definedName>
    <definedName name="BW">暴露参数!$C$46</definedName>
    <definedName name="CAPACITYstp">暴露参数!$C$11</definedName>
    <definedName name="Cdep.soil10_0">暴露浓度!$C$90</definedName>
    <definedName name="Cdep.soil5_0">暴露浓度!$C$91</definedName>
    <definedName name="Cfish">暴露浓度!$C$101</definedName>
    <definedName name="Clocal.directwater">暴露浓度!$C$67</definedName>
    <definedName name="Clocal.soil_180">暴露浓度!$C$97</definedName>
    <definedName name="Clocal.soil_30">暴露浓度!$G$96</definedName>
    <definedName name="Clocal.water">暴露浓度!$C$66</definedName>
    <definedName name="CONjunge">暴露浓度!$F$18</definedName>
    <definedName name="CONV.sed">暴露参数!$C$28</definedName>
    <definedName name="CONV.soil">暴露参数!$C$35</definedName>
    <definedName name="CorrVolat.s">暴露浓度!$C$81</definedName>
    <definedName name="Csludge">暴露浓度!$C$63</definedName>
    <definedName name="Csludge.soil.1_0">暴露浓度!$C$92</definedName>
    <definedName name="Csludge.soil.10_0">暴露浓度!$C$93</definedName>
    <definedName name="Csludge.soil.5_0">暴露浓度!$C$94</definedName>
    <definedName name="Csoil10_0">暴露浓度!$C$88</definedName>
    <definedName name="Csoil5_0">暴露浓度!$C$89</definedName>
    <definedName name="Cstd.air">暴露浓度!$C$74</definedName>
    <definedName name="Dair">暴露浓度!$C$73</definedName>
    <definedName name="Deff.s1R">暴露浓度!$C$85</definedName>
    <definedName name="Deff_soil">暴露浓度!$C$85</definedName>
    <definedName name="DEPstd.aer">暴露浓度!$C$70</definedName>
    <definedName name="DEPstd.gas">暴露浓度!$C$71</definedName>
    <definedName name="DEPTHsoil">暴露参数!$C$36</definedName>
    <definedName name="DEPtotal">暴露浓度!$C$69</definedName>
    <definedName name="DEPtotal.ann">暴露浓度!$C$72</definedName>
    <definedName name="dp">暴露浓度!$C$86</definedName>
    <definedName name="ED">暴露参数!$C$45</definedName>
    <definedName name="EF">暴露参数!$C$44</definedName>
    <definedName name="EFFLUENTstp">暴露参数!$C$10</definedName>
    <definedName name="Elocal.air">暴露浓度!$C$46</definedName>
    <definedName name="Elocal.directwater">暴露浓度!$C$47</definedName>
    <definedName name="Elocal.soil">暴露浓度!$C$55</definedName>
    <definedName name="Elocal.water">暴露浓度!$C$45</definedName>
    <definedName name="ElocalSTP.air">暴露浓度!$C$62</definedName>
    <definedName name="ET">暴露参数!$C$43</definedName>
    <definedName name="F.directwater">'排放率（暂时未使用）'!$C$9</definedName>
    <definedName name="F.pur">暴露浓度!$C$119</definedName>
    <definedName name="Fabatement.air">暴露浓度!$C$54</definedName>
    <definedName name="Fabatement.Soil">暴露浓度!$C$56</definedName>
    <definedName name="Fabatement.Water">暴露浓度!$C$53</definedName>
    <definedName name="Facc">暴露浓度!$C$95</definedName>
    <definedName name="Fair.sed">暴露浓度!#REF!</definedName>
    <definedName name="Fair.soil">暴露参数!$C$33</definedName>
    <definedName name="Fass.aer">暴露浓度!$C$24</definedName>
    <definedName name="Fass_aer">暴露浓度!$C$24</definedName>
    <definedName name="Femisssion.air">暴露浓度!$C$50</definedName>
    <definedName name="Femisssion.soil">暴露浓度!$C$51</definedName>
    <definedName name="Femisssion.water">暴露浓度!$C$49</definedName>
    <definedName name="Fgut.worm">暴露参数!$C$40</definedName>
    <definedName name="Finf.soil">暴露浓度!$C$83</definedName>
    <definedName name="FLOW">暴露参数!$C$16</definedName>
    <definedName name="Fmainsource">暴露浓度!$C$52</definedName>
    <definedName name="Foc.sed">暴露参数!$C$27</definedName>
    <definedName name="Foc.soil">暴露参数!$C$34</definedName>
    <definedName name="Foc.susp">暴露参数!$C$21</definedName>
    <definedName name="Fsoil.sed">暴露浓度!#REF!</definedName>
    <definedName name="Fsolid.sed">暴露参数!$C$24</definedName>
    <definedName name="Fsolid.soil">暴露参数!$C$31</definedName>
    <definedName name="Fsolid.susp">暴露参数!$C$19</definedName>
    <definedName name="Fstp.air">暴露浓度!$C$59</definedName>
    <definedName name="Fstp.sludge">暴露浓度!$C$60</definedName>
    <definedName name="Fstp.water">暴露浓度!$C$58</definedName>
    <definedName name="Fwater.sed">暴露参数!$C$25</definedName>
    <definedName name="Fwater.soil">暴露参数!$C$32</definedName>
    <definedName name="Fwater.susp">暴露参数!$C$20</definedName>
    <definedName name="HENRY">暴露浓度!$C$22</definedName>
    <definedName name="IR">暴露参数!$C$42</definedName>
    <definedName name="IRair">暴露参数!$C$42</definedName>
    <definedName name="IRfish">暴露参数!$C$48</definedName>
    <definedName name="IRs">暴露参数!$C$50</definedName>
    <definedName name="IRwater">暴露参数!$C$49</definedName>
    <definedName name="k.soil">暴露浓度!$C$77</definedName>
    <definedName name="Kair_water">暴露浓度!$C$23</definedName>
    <definedName name="kasl.air">暴露浓度!$C$79</definedName>
    <definedName name="kasl.soil">暴露浓度!$C$80</definedName>
    <definedName name="kasl.soilair">暴露浓度!#REF!</definedName>
    <definedName name="kasl.soilwater">暴露浓度!#REF!</definedName>
    <definedName name="kbio.fresh">暴露浓度!$C$35</definedName>
    <definedName name="kbio.soil">暴露浓度!$C$38</definedName>
    <definedName name="kbio.stp">暴露浓度!$C$33</definedName>
    <definedName name="kdeg.stp">暴露浓度!$C$34</definedName>
    <definedName name="khydr.water">暴露浓度!$C$31</definedName>
    <definedName name="kleach">暴露浓度!$C$82</definedName>
    <definedName name="Koc">暴露浓度!$C$12</definedName>
    <definedName name="Kow">暴露浓度!$C$13</definedName>
    <definedName name="Kp.sed">暴露浓度!$C$27</definedName>
    <definedName name="Kp.soil">暴露浓度!$C$25</definedName>
    <definedName name="Kp.susp">暴露浓度!$C$26</definedName>
    <definedName name="Ksed_water">暴露浓度!$C$30</definedName>
    <definedName name="Ksoil_water">暴露浓度!$C$28</definedName>
    <definedName name="Ksusp_water">暴露浓度!$C$29</definedName>
    <definedName name="kvolat">暴露浓度!$C$78</definedName>
    <definedName name="MOLW">暴露浓度!$C$5</definedName>
    <definedName name="PEC.drwL">暴露浓度!$C$120</definedName>
    <definedName name="PECaqu_predator">暴露浓度!$C$102</definedName>
    <definedName name="PECaqu_toppredator">暴露浓度!$C$103</definedName>
    <definedName name="PEClocal.air_ann">暴露浓度!$C$75</definedName>
    <definedName name="PEClocal.grw">暴露浓度!$C$117</definedName>
    <definedName name="PEClocal.sed">暴露浓度!$C$114</definedName>
    <definedName name="PEClocal.soil_180">暴露浓度!$C$116</definedName>
    <definedName name="PEClocal.soil_30">暴露浓度!$C$115</definedName>
    <definedName name="PEClocal.soil_porew">暴露浓度!$C$99</definedName>
    <definedName name="PEClocal.water">暴露浓度!$C$112</definedName>
    <definedName name="PEClocal.water_ann">暴露浓度!$C$113</definedName>
    <definedName name="PECreg.air">暴露浓度!$C$106</definedName>
    <definedName name="PECreg.soil">暴露浓度!$C$108</definedName>
    <definedName name="PECreg.soil_porew">暴露浓度!$C$109</definedName>
    <definedName name="PECreg.water">暴露浓度!$C$107</definedName>
    <definedName name="PECstp">暴露浓度!$C$111</definedName>
    <definedName name="PECter_predator">暴露浓度!$C$104</definedName>
    <definedName name="Qchemical">暴露浓度!$C$4</definedName>
    <definedName name="RAINrate">暴露参数!$C$8</definedName>
    <definedName name="RHO.sed">暴露参数!$C$26</definedName>
    <definedName name="RHOair">暴露参数!$C$5</definedName>
    <definedName name="RHOsoil">暴露参数!$C$30</definedName>
    <definedName name="RHOsolid">暴露参数!$C$3</definedName>
    <definedName name="RHOsusp">暴露参数!$C$22</definedName>
    <definedName name="RHOwater">暴露参数!$C$4</definedName>
    <definedName name="RHOworm">暴露参数!$C$39</definedName>
    <definedName name="Sewage_flow">暴露参数!$C$12</definedName>
    <definedName name="SLUDGErate">暴露浓度!$C$64</definedName>
    <definedName name="Sol">暴露浓度!$C$11</definedName>
    <definedName name="Sol.TempTest">暴露浓度!$C$9</definedName>
    <definedName name="Solid">暴露浓度!$C$3</definedName>
    <definedName name="Source.type">暴露浓度!$C$44</definedName>
    <definedName name="SURF.aer">暴露浓度!$F$19</definedName>
    <definedName name="SURPLUSsludge">暴露参数!$C$14</definedName>
    <definedName name="SUSPCONCinf">暴露参数!$C$13</definedName>
    <definedName name="SUSPwater">暴露参数!$C$17</definedName>
    <definedName name="Tav.soil">暴露浓度!$C$98</definedName>
    <definedName name="Temission">暴露浓度!$C$48</definedName>
    <definedName name="TEMP">暴露参数!$C$6</definedName>
    <definedName name="TEMP.SolTest">暴露浓度!$C$10</definedName>
    <definedName name="TEMP.Vptest">暴露浓度!$C$7</definedName>
    <definedName name="TEMPmelt">暴露浓度!$C$15</definedName>
    <definedName name="Tonnage">暴露浓度!#REF!</definedName>
    <definedName name="v.wind">暴露参数!$C$7</definedName>
    <definedName name="Veff.s1R">暴露浓度!$C$84</definedName>
    <definedName name="Veff_soil">暴露浓度!$C$84</definedName>
    <definedName name="Vp">暴露浓度!$C$8</definedName>
    <definedName name="Vp.temptest">暴露浓度!$C$6</definedName>
    <definedName name="VPL">暴露浓度!$F$16</definedName>
    <definedName name="WINDspeed">暴露参数!#REF!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C7" i="2" l="1"/>
  <c r="C40" i="2" l="1"/>
  <c r="C39" i="2"/>
  <c r="C7" i="4"/>
  <c r="F31" i="1" l="1"/>
  <c r="C31" i="1" l="1"/>
  <c r="E17" i="2" l="1"/>
  <c r="E16" i="2"/>
  <c r="E27" i="2"/>
  <c r="E20" i="2"/>
  <c r="E21" i="2"/>
  <c r="E19" i="2"/>
  <c r="E36" i="2"/>
  <c r="C36" i="2"/>
  <c r="E37" i="2"/>
  <c r="C37" i="2" s="1"/>
  <c r="E12" i="2"/>
  <c r="E13" i="2"/>
  <c r="E10" i="2"/>
  <c r="E4" i="2"/>
  <c r="E5" i="2"/>
  <c r="E3" i="2"/>
  <c r="C20" i="3" l="1"/>
  <c r="C11" i="3"/>
  <c r="C10" i="3"/>
  <c r="E47" i="1" l="1"/>
  <c r="C47" i="1" s="1"/>
  <c r="E44" i="1"/>
  <c r="C44" i="1" s="1"/>
  <c r="C56" i="1"/>
  <c r="E106" i="1"/>
  <c r="C106" i="1" s="1"/>
  <c r="E78" i="1" l="1"/>
  <c r="E7" i="4"/>
  <c r="E108" i="1" l="1"/>
  <c r="C108" i="1" s="1"/>
  <c r="E107" i="1"/>
  <c r="C107" i="1" s="1"/>
  <c r="E45" i="1"/>
  <c r="C45" i="1" s="1"/>
  <c r="E46" i="1"/>
  <c r="E48" i="1"/>
  <c r="E15" i="1" l="1"/>
  <c r="C15" i="1" s="1"/>
  <c r="E14" i="1"/>
  <c r="E13" i="1"/>
  <c r="E12" i="1"/>
  <c r="E10" i="1"/>
  <c r="E9" i="1"/>
  <c r="E7" i="1"/>
  <c r="E6" i="1"/>
  <c r="E5" i="1"/>
  <c r="E3" i="1" l="1"/>
  <c r="C16" i="2"/>
  <c r="C10" i="2"/>
  <c r="C3" i="1" l="1"/>
  <c r="C4" i="1"/>
  <c r="C5" i="1"/>
  <c r="C6" i="1"/>
  <c r="C7" i="1"/>
  <c r="C9" i="1"/>
  <c r="C10" i="1"/>
  <c r="C12" i="1"/>
  <c r="C13" i="1"/>
  <c r="F42" i="1" s="1"/>
  <c r="C14" i="1"/>
  <c r="F35" i="1" s="1"/>
  <c r="C35" i="1" l="1"/>
  <c r="F33" i="1"/>
  <c r="C12" i="2"/>
  <c r="C13" i="2"/>
  <c r="G14" i="2"/>
  <c r="C48" i="2"/>
  <c r="C27" i="2"/>
  <c r="C5" i="2"/>
  <c r="C4" i="2"/>
  <c r="C33" i="1" l="1"/>
  <c r="C54" i="1"/>
  <c r="C53" i="1"/>
  <c r="C52" i="1"/>
  <c r="C50" i="1"/>
  <c r="C51" i="1"/>
  <c r="C49" i="1"/>
  <c r="C48" i="1"/>
  <c r="C18" i="1"/>
  <c r="C19" i="1"/>
  <c r="F11" i="2"/>
  <c r="E11" i="2" s="1"/>
  <c r="C42" i="1"/>
  <c r="C79" i="1"/>
  <c r="E32" i="2"/>
  <c r="C32" i="2" s="1"/>
  <c r="E33" i="2"/>
  <c r="C33" i="2" s="1"/>
  <c r="E34" i="2"/>
  <c r="C34" i="2" s="1"/>
  <c r="E31" i="2"/>
  <c r="C31" i="2" s="1"/>
  <c r="E25" i="2"/>
  <c r="C25" i="2" s="1"/>
  <c r="E24" i="2"/>
  <c r="C24" i="2" s="1"/>
  <c r="C20" i="2"/>
  <c r="C21" i="2"/>
  <c r="C19" i="2"/>
  <c r="C3" i="2"/>
  <c r="C43" i="2"/>
  <c r="E8" i="2"/>
  <c r="C8" i="2" s="1"/>
  <c r="C34" i="1" l="1"/>
  <c r="C6" i="2"/>
  <c r="C11" i="2"/>
  <c r="F27" i="1"/>
  <c r="C27" i="1" s="1"/>
  <c r="F30" i="1" s="1"/>
  <c r="C30" i="1" s="1"/>
  <c r="E22" i="2"/>
  <c r="C22" i="2" s="1"/>
  <c r="E26" i="2"/>
  <c r="E30" i="2"/>
  <c r="C30" i="2" s="1"/>
  <c r="E35" i="2" s="1"/>
  <c r="C35" i="2" s="1"/>
  <c r="F55" i="1"/>
  <c r="C55" i="1" s="1"/>
  <c r="F25" i="1"/>
  <c r="C25" i="1" s="1"/>
  <c r="F38" i="1" s="1"/>
  <c r="C38" i="1" s="1"/>
  <c r="F26" i="1"/>
  <c r="C26" i="1" s="1"/>
  <c r="F40" i="1"/>
  <c r="C40" i="1" s="1"/>
  <c r="F39" i="1"/>
  <c r="C46" i="1"/>
  <c r="F41" i="1"/>
  <c r="C41" i="1" s="1"/>
  <c r="F8" i="1" l="1"/>
  <c r="C8" i="1" s="1"/>
  <c r="F11" i="1"/>
  <c r="C11" i="1" s="1"/>
  <c r="C26" i="2"/>
  <c r="E28" i="2" s="1"/>
  <c r="C28" i="2" s="1"/>
  <c r="F29" i="1"/>
  <c r="C29" i="1" s="1"/>
  <c r="E39" i="1"/>
  <c r="C39" i="1" s="1"/>
  <c r="J65" i="1"/>
  <c r="F16" i="1" l="1"/>
  <c r="F22" i="1"/>
  <c r="C22" i="1" s="1"/>
  <c r="F119" i="1" s="1"/>
  <c r="C119" i="1"/>
  <c r="F47" i="2"/>
  <c r="C47" i="2" s="1"/>
  <c r="C44" i="2"/>
  <c r="C45" i="2"/>
  <c r="C46" i="2"/>
  <c r="C49" i="2"/>
  <c r="C50" i="2"/>
  <c r="C42" i="2"/>
  <c r="F23" i="1" l="1"/>
  <c r="C23" i="1" s="1"/>
  <c r="F28" i="1" s="1"/>
  <c r="C28" i="1" s="1"/>
  <c r="C16" i="1"/>
  <c r="E24" i="1"/>
  <c r="C81" i="1"/>
  <c r="C17" i="2"/>
  <c r="C67" i="1" s="1"/>
  <c r="C24" i="1"/>
  <c r="C21" i="3" l="1"/>
  <c r="F24" i="1" l="1"/>
  <c r="C71" i="1" l="1"/>
  <c r="C80" i="1" l="1"/>
  <c r="F78" i="1" s="1"/>
  <c r="C82" i="1"/>
  <c r="C78" i="1" l="1"/>
  <c r="C77" i="1" s="1"/>
  <c r="C95" i="1" l="1"/>
  <c r="F14" i="2" l="1"/>
  <c r="E14" i="2" s="1"/>
  <c r="C14" i="2" s="1"/>
  <c r="F64" i="1" l="1"/>
  <c r="E64" i="1" s="1"/>
  <c r="C64" i="1" s="1"/>
  <c r="J66" i="1" s="1"/>
  <c r="F58" i="1" l="1"/>
  <c r="C58" i="1" s="1"/>
  <c r="F59" i="1"/>
  <c r="C59" i="1" s="1"/>
  <c r="F62" i="1" s="1"/>
  <c r="C62" i="1" s="1"/>
  <c r="F60" i="1" l="1"/>
  <c r="C60" i="1" s="1"/>
  <c r="C75" i="1"/>
  <c r="C121" i="1" s="1"/>
  <c r="C69" i="1"/>
  <c r="C72" i="1" s="1"/>
  <c r="C73" i="1" s="1"/>
  <c r="C66" i="1"/>
  <c r="C112" i="1" s="1"/>
  <c r="F61" i="1"/>
  <c r="C61" i="1" s="1"/>
  <c r="C111" i="1"/>
  <c r="D3" i="5" s="1"/>
  <c r="H3" i="5" s="1"/>
  <c r="J63" i="1" l="1"/>
  <c r="F63" i="1"/>
  <c r="E63" i="1" s="1"/>
  <c r="C63" i="1" s="1"/>
  <c r="C92" i="1" s="1"/>
  <c r="C94" i="1" s="1"/>
  <c r="J62" i="1"/>
  <c r="D4" i="5"/>
  <c r="H4" i="5" s="1"/>
  <c r="C114" i="1"/>
  <c r="D5" i="5" s="1"/>
  <c r="H5" i="5" s="1"/>
  <c r="C113" i="1"/>
  <c r="G114" i="1"/>
  <c r="C91" i="1"/>
  <c r="C90" i="1"/>
  <c r="D11" i="5"/>
  <c r="C93" i="1" l="1"/>
  <c r="C88" i="1" s="1"/>
  <c r="G97" i="1" s="1"/>
  <c r="C102" i="1"/>
  <c r="D8" i="5" s="1"/>
  <c r="H8" i="5" s="1"/>
  <c r="C101" i="1"/>
  <c r="C123" i="1" s="1"/>
  <c r="C103" i="1"/>
  <c r="C89" i="1"/>
  <c r="H11" i="5"/>
  <c r="C97" i="1" l="1"/>
  <c r="C116" i="1" s="1"/>
  <c r="C122" i="1" s="1"/>
  <c r="G96" i="1"/>
  <c r="C115" i="1" s="1"/>
  <c r="D6" i="5" s="1"/>
  <c r="H6" i="5" s="1"/>
  <c r="D13" i="5"/>
  <c r="H13" i="5" s="1"/>
  <c r="F97" i="1"/>
  <c r="F96" i="1"/>
  <c r="C96" i="1" s="1"/>
  <c r="C99" i="1" l="1"/>
  <c r="C104" i="1" s="1"/>
  <c r="D9" i="5" s="1"/>
  <c r="H9" i="5" s="1"/>
  <c r="C117" i="1" l="1"/>
  <c r="F120" i="1" s="1"/>
  <c r="C120" i="1" s="1"/>
  <c r="C124" i="1" s="1"/>
  <c r="C125" i="1" s="1"/>
  <c r="D7" i="5" l="1"/>
  <c r="H7" i="5" s="1"/>
  <c r="D12" i="5"/>
  <c r="H12" i="5" l="1"/>
  <c r="D14" i="5"/>
  <c r="H14" i="5" s="1"/>
</calcChain>
</file>

<file path=xl/comments1.xml><?xml version="1.0" encoding="utf-8"?>
<comments xmlns="http://schemas.openxmlformats.org/spreadsheetml/2006/main">
  <authors>
    <author>zhou</author>
  </authors>
  <commentList>
    <comment ref="C19" authorId="0" shapeId="0">
      <text>
        <r>
          <rPr>
            <b/>
            <sz val="9"/>
            <color indexed="81"/>
            <rFont val="宋体"/>
            <family val="3"/>
            <charset val="134"/>
          </rPr>
          <t>zhou:</t>
        </r>
        <r>
          <rPr>
            <sz val="9"/>
            <color indexed="81"/>
            <rFont val="宋体"/>
            <family val="3"/>
            <charset val="134"/>
          </rPr>
          <t xml:space="preserve">
广泛分散使用填写，
工业源填写0</t>
        </r>
      </text>
    </comment>
  </commentList>
</comments>
</file>

<file path=xl/comments2.xml><?xml version="1.0" encoding="utf-8"?>
<comments xmlns="http://schemas.openxmlformats.org/spreadsheetml/2006/main">
  <authors>
    <author>zhou</author>
    <author>周林军</author>
  </authors>
  <commentList>
    <comment ref="E78" authorId="0" shapeId="0">
      <text>
        <r>
          <rPr>
            <b/>
            <sz val="9"/>
            <color indexed="81"/>
            <rFont val="宋体"/>
            <family val="3"/>
            <charset val="134"/>
          </rPr>
          <t>与欧盟不一致</t>
        </r>
      </text>
    </comment>
    <comment ref="F78" authorId="0" shapeId="0">
      <text>
        <r>
          <rPr>
            <b/>
            <sz val="9"/>
            <color indexed="81"/>
            <rFont val="宋体"/>
            <family val="3"/>
            <charset val="134"/>
          </rPr>
          <t>与欧盟不一致</t>
        </r>
      </text>
    </comment>
    <comment ref="G78" authorId="1" shapeId="0">
      <text>
        <r>
          <rPr>
            <b/>
            <sz val="9"/>
            <color indexed="81"/>
            <rFont val="宋体"/>
            <family val="3"/>
            <charset val="134"/>
          </rPr>
          <t>周林军:</t>
        </r>
        <r>
          <rPr>
            <sz val="9"/>
            <color indexed="81"/>
            <rFont val="宋体"/>
            <family val="3"/>
            <charset val="134"/>
          </rPr>
          <t xml:space="preserve">
=1/((1/(kasl.air*Kair_water/Ksoil_water)+1/kasl.soil*DEPTHsoil))</t>
        </r>
      </text>
    </comment>
    <comment ref="G79" authorId="0" shapeId="0">
      <text>
        <r>
          <rPr>
            <b/>
            <sz val="9"/>
            <color indexed="81"/>
            <rFont val="宋体"/>
            <family val="3"/>
            <charset val="134"/>
          </rPr>
          <t>zhou:</t>
        </r>
        <r>
          <rPr>
            <sz val="9"/>
            <color indexed="81"/>
            <rFont val="宋体"/>
            <family val="3"/>
            <charset val="134"/>
          </rPr>
          <t xml:space="preserve">
欧盟为91</t>
        </r>
      </text>
    </comment>
    <comment ref="F96" authorId="1" shapeId="0">
      <text>
        <r>
          <rPr>
            <b/>
            <sz val="9"/>
            <color indexed="81"/>
            <rFont val="宋体"/>
            <family val="3"/>
            <charset val="134"/>
          </rPr>
          <t>周林军:</t>
        </r>
        <r>
          <rPr>
            <sz val="9"/>
            <color indexed="81"/>
            <rFont val="宋体"/>
            <family val="3"/>
            <charset val="134"/>
          </rPr>
          <t xml:space="preserve">
欧盟为污泥连续施用10年；
中国为5年</t>
        </r>
      </text>
    </comment>
    <comment ref="F97" authorId="1" shapeId="0">
      <text>
        <r>
          <rPr>
            <b/>
            <sz val="9"/>
            <color indexed="81"/>
            <rFont val="宋体"/>
            <family val="3"/>
            <charset val="134"/>
          </rPr>
          <t>周林军:</t>
        </r>
        <r>
          <rPr>
            <sz val="9"/>
            <color indexed="81"/>
            <rFont val="宋体"/>
            <family val="3"/>
            <charset val="134"/>
          </rPr>
          <t xml:space="preserve">
欧盟为污泥连续施用10年；
中国为5年</t>
        </r>
      </text>
    </comment>
    <comment ref="G114" authorId="0" shapeId="0">
      <text>
        <r>
          <rPr>
            <b/>
            <sz val="9"/>
            <color indexed="81"/>
            <rFont val="宋体"/>
            <family val="3"/>
            <charset val="134"/>
          </rPr>
          <t>zhou: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欧盟使用悬浮物的干湿转化系数，4.6 kgwet/kgdry,我国使用沉积物</t>
        </r>
      </text>
    </comment>
  </commentList>
</comments>
</file>

<file path=xl/sharedStrings.xml><?xml version="1.0" encoding="utf-8"?>
<sst xmlns="http://schemas.openxmlformats.org/spreadsheetml/2006/main" count="825" uniqueCount="566">
  <si>
    <r>
      <rPr>
        <sz val="11"/>
        <color theme="1"/>
        <rFont val="宋体"/>
        <family val="2"/>
        <charset val="134"/>
      </rPr>
      <t>参数名称</t>
    </r>
    <phoneticPr fontId="4" type="noConversion"/>
  </si>
  <si>
    <r>
      <rPr>
        <sz val="11"/>
        <color theme="1"/>
        <rFont val="宋体"/>
        <family val="2"/>
        <charset val="134"/>
      </rPr>
      <t>参数单位</t>
    </r>
    <phoneticPr fontId="4" type="noConversion"/>
  </si>
  <si>
    <r>
      <rPr>
        <sz val="11"/>
        <color theme="1"/>
        <rFont val="宋体"/>
        <family val="2"/>
        <charset val="134"/>
      </rPr>
      <t>受纳河流流量</t>
    </r>
    <phoneticPr fontId="4" type="noConversion"/>
  </si>
  <si>
    <t>PECstp</t>
    <phoneticPr fontId="4" type="noConversion"/>
  </si>
  <si>
    <t>Koc</t>
    <phoneticPr fontId="4" type="noConversion"/>
  </si>
  <si>
    <t>Fmainsource</t>
    <phoneticPr fontId="4" type="noConversion"/>
  </si>
  <si>
    <r>
      <t>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·m</t>
    </r>
    <r>
      <rPr>
        <vertAlign val="superscript"/>
        <sz val="12"/>
        <color theme="1"/>
        <rFont val="Times New Roman"/>
        <family val="1"/>
      </rPr>
      <t>-3</t>
    </r>
  </si>
  <si>
    <t>mg/kg</t>
  </si>
  <si>
    <t>土壤的混合深度</t>
    <phoneticPr fontId="4" type="noConversion"/>
  </si>
  <si>
    <t>m</t>
  </si>
  <si>
    <t>湿沉降速率</t>
    <phoneticPr fontId="4" type="noConversion"/>
  </si>
  <si>
    <t>TEMP</t>
  </si>
  <si>
    <t>K</t>
  </si>
  <si>
    <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·d</t>
    </r>
    <r>
      <rPr>
        <vertAlign val="superscript"/>
        <sz val="11"/>
        <color theme="1"/>
        <rFont val="Times New Roman"/>
        <family val="1"/>
      </rPr>
      <t>-1</t>
    </r>
  </si>
  <si>
    <t>污水处理厂进水中悬浮物质浓度</t>
    <phoneticPr fontId="4" type="noConversion"/>
  </si>
  <si>
    <t>每人口当量的日剩余污泥量</t>
    <phoneticPr fontId="4" type="noConversion"/>
  </si>
  <si>
    <t>eq</t>
  </si>
  <si>
    <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·m</t>
    </r>
    <r>
      <rPr>
        <vertAlign val="superscript"/>
        <sz val="11"/>
        <color theme="1"/>
        <rFont val="Times New Roman"/>
        <family val="1"/>
      </rPr>
      <t>-3</t>
    </r>
  </si>
  <si>
    <t>土壤容重</t>
    <phoneticPr fontId="4" type="noConversion"/>
  </si>
  <si>
    <r>
      <t>kg· m</t>
    </r>
    <r>
      <rPr>
        <vertAlign val="superscript"/>
        <sz val="11"/>
        <color theme="1"/>
        <rFont val="Times New Roman"/>
        <family val="1"/>
      </rPr>
      <t>-3</t>
    </r>
    <phoneticPr fontId="4" type="noConversion"/>
  </si>
  <si>
    <t>固相的密度</t>
    <phoneticPr fontId="4" type="noConversion"/>
  </si>
  <si>
    <t>HENRY</t>
    <phoneticPr fontId="4" type="noConversion"/>
  </si>
  <si>
    <t>Vp</t>
    <phoneticPr fontId="4" type="noConversion"/>
  </si>
  <si>
    <t>Pa</t>
    <phoneticPr fontId="4" type="noConversion"/>
  </si>
  <si>
    <t>Kair-water</t>
    <phoneticPr fontId="4" type="noConversion"/>
  </si>
  <si>
    <t>Ksoil-water</t>
    <phoneticPr fontId="4" type="noConversion"/>
  </si>
  <si>
    <t>-</t>
    <phoneticPr fontId="4" type="noConversion"/>
  </si>
  <si>
    <t>dp</t>
    <phoneticPr fontId="4" type="noConversion"/>
  </si>
  <si>
    <t>m</t>
    <phoneticPr fontId="4" type="noConversion"/>
  </si>
  <si>
    <t>kvolat</t>
    <phoneticPr fontId="4" type="noConversion"/>
  </si>
  <si>
    <t>Facc</t>
    <phoneticPr fontId="4" type="noConversion"/>
  </si>
  <si>
    <t>-</t>
    <phoneticPr fontId="4" type="noConversion"/>
  </si>
  <si>
    <t>Csludge</t>
    <phoneticPr fontId="4" type="noConversion"/>
  </si>
  <si>
    <t>d</t>
    <phoneticPr fontId="4" type="noConversion"/>
  </si>
  <si>
    <r>
      <t>mg·kg</t>
    </r>
    <r>
      <rPr>
        <vertAlign val="superscript"/>
        <sz val="10.5"/>
        <color theme="1"/>
        <rFont val="Times New Roman"/>
        <family val="1"/>
      </rPr>
      <t>-1</t>
    </r>
  </si>
  <si>
    <t>FLOW</t>
    <phoneticPr fontId="4" type="noConversion"/>
  </si>
  <si>
    <t>Temission</t>
    <phoneticPr fontId="4" type="noConversion"/>
  </si>
  <si>
    <t>沉积物中固体的比例</t>
    <phoneticPr fontId="4" type="noConversion"/>
  </si>
  <si>
    <t>Ksusp-water</t>
    <phoneticPr fontId="4" type="noConversion"/>
  </si>
  <si>
    <t>使用值</t>
    <phoneticPr fontId="4" type="noConversion"/>
  </si>
  <si>
    <t>Foc.sed</t>
    <phoneticPr fontId="4" type="noConversion"/>
  </si>
  <si>
    <t>Kp.soil</t>
    <phoneticPr fontId="4" type="noConversion"/>
  </si>
  <si>
    <t xml:space="preserve">    沉积物有机碳</t>
    <phoneticPr fontId="4" type="noConversion"/>
  </si>
  <si>
    <t>Sol</t>
    <phoneticPr fontId="4" type="noConversion"/>
  </si>
  <si>
    <r>
      <t>L·kg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</si>
  <si>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Ksed-water</t>
    <phoneticPr fontId="4" type="noConversion"/>
  </si>
  <si>
    <t>VPL</t>
    <phoneticPr fontId="4" type="noConversion"/>
  </si>
  <si>
    <t>Pa</t>
    <phoneticPr fontId="4" type="noConversion"/>
  </si>
  <si>
    <t>TEMPmelt</t>
    <phoneticPr fontId="4" type="noConversion"/>
  </si>
  <si>
    <t>K</t>
    <phoneticPr fontId="4" type="noConversion"/>
  </si>
  <si>
    <r>
      <t>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</si>
  <si>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kbio.soil</t>
    <phoneticPr fontId="4" type="noConversion"/>
  </si>
  <si>
    <r>
      <t>kg•d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</si>
  <si>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Elocal.soil</t>
    <phoneticPr fontId="4" type="noConversion"/>
  </si>
  <si>
    <t>污泥产生量</t>
    <phoneticPr fontId="4" type="noConversion"/>
  </si>
  <si>
    <r>
      <t>mg· m</t>
    </r>
    <r>
      <rPr>
        <vertAlign val="superscript"/>
        <sz val="11"/>
        <color theme="1"/>
        <rFont val="Times New Roman"/>
        <family val="1"/>
      </rPr>
      <t>-2</t>
    </r>
    <r>
      <rPr>
        <sz val="11"/>
        <color theme="1"/>
        <rFont val="Times New Roman"/>
        <family val="1"/>
      </rPr>
      <t>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</si>
  <si>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DEPstd.aer</t>
    <phoneticPr fontId="4" type="noConversion"/>
  </si>
  <si>
    <t>DEPstd.gas</t>
    <phoneticPr fontId="4" type="noConversion"/>
  </si>
  <si>
    <r>
      <rPr>
        <sz val="11"/>
        <color theme="1"/>
        <rFont val="宋体"/>
        <family val="3"/>
        <charset val="134"/>
      </rPr>
      <t>源强为</t>
    </r>
    <r>
      <rPr>
        <sz val="11"/>
        <color theme="1"/>
        <rFont val="Times New Roman"/>
        <family val="1"/>
      </rPr>
      <t>1 kg·d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宋体"/>
        <family val="3"/>
        <charset val="134"/>
      </rPr>
      <t>时，气溶胶中化学物质标准沉降通量</t>
    </r>
    <phoneticPr fontId="4" type="noConversion"/>
  </si>
  <si>
    <r>
      <rPr>
        <sz val="11"/>
        <color theme="1"/>
        <rFont val="宋体"/>
        <family val="3"/>
        <charset val="134"/>
      </rPr>
      <t>源强为</t>
    </r>
    <r>
      <rPr>
        <sz val="11"/>
        <color theme="1"/>
        <rFont val="Times New Roman"/>
        <family val="1"/>
      </rPr>
      <t>1 kg·d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宋体"/>
        <family val="3"/>
        <charset val="134"/>
      </rPr>
      <t>时，气体中化学物质的标准沉降通量</t>
    </r>
    <phoneticPr fontId="4" type="noConversion"/>
  </si>
  <si>
    <t>kasl.air</t>
    <phoneticPr fontId="4" type="noConversion"/>
  </si>
  <si>
    <t>Cdep.soil10(0)</t>
    <phoneticPr fontId="4" type="noConversion"/>
  </si>
  <si>
    <r>
      <rPr>
        <sz val="11"/>
        <color theme="1"/>
        <rFont val="宋体"/>
        <family val="3"/>
        <charset val="134"/>
      </rPr>
      <t>污泥施用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年后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时刻，土壤中化学物质的浓度</t>
    </r>
    <phoneticPr fontId="4" type="noConversion"/>
  </si>
  <si>
    <r>
      <rPr>
        <sz val="11"/>
        <color theme="1"/>
        <rFont val="宋体"/>
        <family val="3"/>
        <charset val="134"/>
      </rPr>
      <t>污泥施用持续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年后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时刻，土壤中化学物质的浓度</t>
    </r>
    <phoneticPr fontId="4" type="noConversion"/>
  </si>
  <si>
    <t>Csludge.soil.10(0)</t>
    <phoneticPr fontId="4" type="noConversion"/>
  </si>
  <si>
    <r>
      <t>mg·L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</si>
  <si>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时间</t>
    </r>
    <phoneticPr fontId="4" type="noConversion"/>
  </si>
  <si>
    <r>
      <t>mg·kg</t>
    </r>
    <r>
      <rPr>
        <vertAlign val="superscript"/>
        <sz val="10.5"/>
        <rFont val="Times New Roman"/>
        <family val="1"/>
      </rPr>
      <t>-1</t>
    </r>
    <phoneticPr fontId="4" type="noConversion"/>
  </si>
  <si>
    <t>Clocal.water</t>
    <phoneticPr fontId="4" type="noConversion"/>
  </si>
  <si>
    <t>Kow</t>
    <phoneticPr fontId="4" type="noConversion"/>
  </si>
  <si>
    <r>
      <rPr>
        <sz val="11"/>
        <color theme="1"/>
        <rFont val="宋体"/>
        <family val="3"/>
        <charset val="134"/>
      </rPr>
      <t>正辛醇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水分配系数</t>
    </r>
    <phoneticPr fontId="4" type="noConversion"/>
  </si>
  <si>
    <r>
      <t>Pa·m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·mol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</si>
  <si>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Qchemical</t>
    <phoneticPr fontId="4" type="noConversion"/>
  </si>
  <si>
    <t>Femisssion.water</t>
    <phoneticPr fontId="4" type="noConversion"/>
  </si>
  <si>
    <t>Femisssion.air</t>
    <phoneticPr fontId="4" type="noConversion"/>
  </si>
  <si>
    <t>Femisssion.soil</t>
    <phoneticPr fontId="4" type="noConversion"/>
  </si>
  <si>
    <t>特征参数</t>
    <phoneticPr fontId="4" type="noConversion"/>
  </si>
  <si>
    <t>DEPtotal.ann</t>
    <phoneticPr fontId="4" type="noConversion"/>
  </si>
  <si>
    <r>
      <t>m·d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</si>
  <si>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特征参数</t>
    <phoneticPr fontId="4" type="noConversion"/>
  </si>
  <si>
    <t>PEClocal.sed</t>
    <phoneticPr fontId="4" type="noConversion"/>
  </si>
  <si>
    <t>污泥施用及大气沉降持续10年后0时刻</t>
    <phoneticPr fontId="4" type="noConversion"/>
  </si>
  <si>
    <t>Csoil10(0)</t>
    <phoneticPr fontId="4" type="noConversion"/>
  </si>
  <si>
    <r>
      <t>mg·L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</si>
  <si>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L·kg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</si>
  <si>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·d</t>
    </r>
    <r>
      <rPr>
        <vertAlign val="superscript"/>
        <sz val="11"/>
        <rFont val="Times New Roman"/>
        <family val="1"/>
      </rPr>
      <t>-1</t>
    </r>
    <phoneticPr fontId="4" type="noConversion"/>
  </si>
  <si>
    <t>特征参数</t>
    <phoneticPr fontId="4" type="noConversion"/>
  </si>
  <si>
    <r>
      <t>kg•d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</si>
  <si>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g·L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</si>
  <si>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mg·kg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</si>
  <si>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mg·kg-1</t>
    <phoneticPr fontId="4" type="noConversion"/>
  </si>
  <si>
    <t>Vp.temptest</t>
    <phoneticPr fontId="4" type="noConversion"/>
  </si>
  <si>
    <t>TEMP.Vptest</t>
    <phoneticPr fontId="4" type="noConversion"/>
  </si>
  <si>
    <t>环境温度</t>
    <phoneticPr fontId="4" type="noConversion"/>
  </si>
  <si>
    <t>yes</t>
  </si>
  <si>
    <t>kasl.soil</t>
    <phoneticPr fontId="4" type="noConversion"/>
  </si>
  <si>
    <r>
      <rPr>
        <sz val="11"/>
        <color theme="1"/>
        <rFont val="宋体"/>
        <family val="3"/>
        <charset val="134"/>
      </rPr>
      <t>空气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土壤界面土壤侧传质系数</t>
    </r>
    <phoneticPr fontId="4" type="noConversion"/>
  </si>
  <si>
    <t>Veff.s1R</t>
    <phoneticPr fontId="4" type="noConversion"/>
  </si>
  <si>
    <t>m.s-1</t>
    <phoneticPr fontId="4" type="noConversion"/>
  </si>
  <si>
    <t>Deff.s1R</t>
    <phoneticPr fontId="4" type="noConversion"/>
  </si>
  <si>
    <t>k.soil</t>
    <phoneticPr fontId="4" type="noConversion"/>
  </si>
  <si>
    <t>沉积物</t>
    <phoneticPr fontId="4" type="noConversion"/>
  </si>
  <si>
    <t>STP</t>
    <phoneticPr fontId="4" type="noConversion"/>
  </si>
  <si>
    <t>m·d-1</t>
    <phoneticPr fontId="4" type="noConversion"/>
  </si>
  <si>
    <t>DEPtotal</t>
    <phoneticPr fontId="4" type="noConversion"/>
  </si>
  <si>
    <t>Elocal.air</t>
    <phoneticPr fontId="4" type="noConversion"/>
  </si>
  <si>
    <t>Fass.aer</t>
    <phoneticPr fontId="4" type="noConversion"/>
  </si>
  <si>
    <t>CONjunge</t>
    <phoneticPr fontId="4" type="noConversion"/>
  </si>
  <si>
    <r>
      <t>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·m</t>
    </r>
    <r>
      <rPr>
        <vertAlign val="superscript"/>
        <sz val="12"/>
        <color theme="1"/>
        <rFont val="Times New Roman"/>
        <family val="1"/>
      </rPr>
      <t>-3</t>
    </r>
    <phoneticPr fontId="4" type="noConversion"/>
  </si>
  <si>
    <t>SURF.aer</t>
    <phoneticPr fontId="4" type="noConversion"/>
  </si>
  <si>
    <t>Dair</t>
    <phoneticPr fontId="4" type="noConversion"/>
  </si>
  <si>
    <t>SLUDGErate</t>
    <phoneticPr fontId="4" type="noConversion"/>
  </si>
  <si>
    <t>CONV.soil</t>
    <phoneticPr fontId="4" type="noConversion"/>
  </si>
  <si>
    <t>CONV.sed</t>
    <phoneticPr fontId="4" type="noConversion"/>
  </si>
  <si>
    <t>土壤湿重-干重转化系数</t>
    <phoneticPr fontId="4" type="noConversion"/>
  </si>
  <si>
    <t>沉积物湿重-干重转化系数</t>
    <phoneticPr fontId="4" type="noConversion"/>
  </si>
  <si>
    <t>Fwater.sed</t>
    <phoneticPr fontId="4" type="noConversion"/>
  </si>
  <si>
    <t>水的密度</t>
    <phoneticPr fontId="4" type="noConversion"/>
  </si>
  <si>
    <t>空气密度</t>
    <phoneticPr fontId="4" type="noConversion"/>
  </si>
  <si>
    <t>沉积物中水的体积分数</t>
    <phoneticPr fontId="4" type="noConversion"/>
  </si>
  <si>
    <t>通用参数</t>
    <phoneticPr fontId="4" type="noConversion"/>
  </si>
  <si>
    <t>水中悬浮物质的浓度</t>
    <phoneticPr fontId="4" type="noConversion"/>
  </si>
  <si>
    <t>地表水</t>
    <phoneticPr fontId="4" type="noConversion"/>
  </si>
  <si>
    <t>悬浮物</t>
    <phoneticPr fontId="4" type="noConversion"/>
  </si>
  <si>
    <t>悬浮物中固体的体积分数</t>
    <phoneticPr fontId="4" type="noConversion"/>
  </si>
  <si>
    <t>悬浮物中水的体积分数</t>
    <phoneticPr fontId="4" type="noConversion"/>
  </si>
  <si>
    <t xml:space="preserve">    悬浮物有机碳含量</t>
    <phoneticPr fontId="4" type="noConversion"/>
  </si>
  <si>
    <t>水中悬浮物容重</t>
    <phoneticPr fontId="4" type="noConversion"/>
  </si>
  <si>
    <t>土壤</t>
    <phoneticPr fontId="4" type="noConversion"/>
  </si>
  <si>
    <t>干污泥的年施用率</t>
    <phoneticPr fontId="4" type="noConversion"/>
  </si>
  <si>
    <t>输入值</t>
    <phoneticPr fontId="4" type="noConversion"/>
  </si>
  <si>
    <t>单位</t>
    <phoneticPr fontId="4" type="noConversion"/>
  </si>
  <si>
    <t>某场景涉及的化学物质的年使用量</t>
    <phoneticPr fontId="4" type="noConversion"/>
  </si>
  <si>
    <t>区域使用量占全国的比例</t>
    <phoneticPr fontId="4" type="noConversion"/>
  </si>
  <si>
    <t>空间和时间的变异系数</t>
    <phoneticPr fontId="4" type="noConversion"/>
  </si>
  <si>
    <t>-</t>
    <phoneticPr fontId="4" type="noConversion"/>
  </si>
  <si>
    <t>-</t>
    <phoneticPr fontId="4" type="noConversion"/>
  </si>
  <si>
    <t>废水产生系数</t>
    <phoneticPr fontId="4" type="noConversion"/>
  </si>
  <si>
    <r>
      <t>d·y</t>
    </r>
    <r>
      <rPr>
        <vertAlign val="superscript"/>
        <sz val="10.5"/>
        <color theme="1"/>
        <rFont val="Times New Roman"/>
        <family val="1"/>
      </rPr>
      <t>-1</t>
    </r>
  </si>
  <si>
    <t>年排放时间</t>
  </si>
  <si>
    <t>人均污水每日产生量</t>
    <phoneticPr fontId="4" type="noConversion"/>
  </si>
  <si>
    <t>Sewage_flow</t>
    <phoneticPr fontId="4" type="noConversion"/>
  </si>
  <si>
    <t>污水处理厂服务人口</t>
    <phoneticPr fontId="4" type="noConversion"/>
  </si>
  <si>
    <r>
      <t>kg·d</t>
    </r>
    <r>
      <rPr>
        <b/>
        <vertAlign val="superscript"/>
        <sz val="10.5"/>
        <color theme="1"/>
        <rFont val="Times New Roman"/>
        <family val="1"/>
      </rPr>
      <t>-1</t>
    </r>
  </si>
  <si>
    <r>
      <t>kg·y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</si>
  <si>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主要排放源的占比</t>
  </si>
  <si>
    <t>工业点源向废水的局部日排放率</t>
    <phoneticPr fontId="4" type="noConversion"/>
  </si>
  <si>
    <t>工业点源向空气的局部日排放率</t>
    <phoneticPr fontId="4" type="noConversion"/>
  </si>
  <si>
    <t>-</t>
    <phoneticPr fontId="4" type="noConversion"/>
  </si>
  <si>
    <t>CorrVolat.s</t>
    <phoneticPr fontId="4" type="noConversion"/>
  </si>
  <si>
    <t>Tav.soil</t>
    <phoneticPr fontId="4" type="noConversion"/>
  </si>
  <si>
    <t>呼吸速率</t>
  </si>
  <si>
    <t>室内外暴露时间</t>
  </si>
  <si>
    <t>ET</t>
  </si>
  <si>
    <t>暴露频率</t>
  </si>
  <si>
    <t>EF</t>
  </si>
  <si>
    <t>暴露持续时间</t>
  </si>
  <si>
    <t>ED</t>
  </si>
  <si>
    <t>体重</t>
  </si>
  <si>
    <t>BW</t>
  </si>
  <si>
    <t>平均暴露时间</t>
  </si>
  <si>
    <t>AT</t>
  </si>
  <si>
    <t>鱼虾摄入率</t>
  </si>
  <si>
    <t>饮水摄入率</t>
  </si>
  <si>
    <r>
      <t>土壤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尘摄入率</t>
    </r>
  </si>
  <si>
    <r>
      <t>m</t>
    </r>
    <r>
      <rPr>
        <vertAlign val="superscript"/>
        <sz val="10"/>
        <color theme="1"/>
        <rFont val="Times New Roman"/>
        <family val="1"/>
      </rPr>
      <t>3</t>
    </r>
    <r>
      <rPr>
        <sz val="10.5"/>
        <color theme="1"/>
        <rFont val="Times New Roman"/>
        <family val="1"/>
      </rPr>
      <t>·d</t>
    </r>
    <r>
      <rPr>
        <vertAlign val="superscript"/>
        <sz val="10.5"/>
        <color theme="1"/>
        <rFont val="Times New Roman"/>
        <family val="1"/>
      </rPr>
      <t>-1</t>
    </r>
  </si>
  <si>
    <r>
      <t>h</t>
    </r>
    <r>
      <rPr>
        <sz val="10.5"/>
        <color theme="1"/>
        <rFont val="Times New Roman"/>
        <family val="1"/>
      </rPr>
      <t>·d</t>
    </r>
    <r>
      <rPr>
        <vertAlign val="superscript"/>
        <sz val="10.5"/>
        <color theme="1"/>
        <rFont val="Times New Roman"/>
        <family val="1"/>
      </rPr>
      <t>-1</t>
    </r>
  </si>
  <si>
    <r>
      <t>d</t>
    </r>
    <r>
      <rPr>
        <sz val="10.5"/>
        <color theme="1"/>
        <rFont val="Times New Roman"/>
        <family val="1"/>
      </rPr>
      <t>·</t>
    </r>
    <r>
      <rPr>
        <sz val="10"/>
        <color theme="1"/>
        <rFont val="Times New Roman"/>
        <family val="1"/>
      </rPr>
      <t>y</t>
    </r>
    <r>
      <rPr>
        <vertAlign val="superscript"/>
        <sz val="10"/>
        <color theme="1"/>
        <rFont val="Times New Roman"/>
        <family val="1"/>
      </rPr>
      <t>-1</t>
    </r>
  </si>
  <si>
    <t>y</t>
  </si>
  <si>
    <t>kg</t>
  </si>
  <si>
    <t>d</t>
  </si>
  <si>
    <r>
      <t>L</t>
    </r>
    <r>
      <rPr>
        <sz val="10.5"/>
        <color theme="1"/>
        <rFont val="Times New Roman"/>
        <family val="1"/>
      </rPr>
      <t>·d</t>
    </r>
    <r>
      <rPr>
        <vertAlign val="superscript"/>
        <sz val="10.5"/>
        <color theme="1"/>
        <rFont val="Times New Roman"/>
        <family val="1"/>
      </rPr>
      <t>-1</t>
    </r>
  </si>
  <si>
    <r>
      <t>mg</t>
    </r>
    <r>
      <rPr>
        <sz val="10.5"/>
        <color theme="1"/>
        <rFont val="Times New Roman"/>
        <family val="1"/>
      </rPr>
      <t>·d</t>
    </r>
    <r>
      <rPr>
        <vertAlign val="superscript"/>
        <sz val="10.5"/>
        <color theme="1"/>
        <rFont val="Times New Roman"/>
        <family val="1"/>
      </rPr>
      <t>-1</t>
    </r>
  </si>
  <si>
    <r>
      <t>mg·kg</t>
    </r>
    <r>
      <rPr>
        <vertAlign val="superscript"/>
        <sz val="10.5"/>
        <color rgb="FF000000"/>
        <rFont val="Times New Roman"/>
        <family val="1"/>
      </rPr>
      <t>-1</t>
    </r>
    <r>
      <rPr>
        <sz val="10.5"/>
        <color rgb="FF000000"/>
        <rFont val="Times New Roman"/>
        <family val="1"/>
      </rPr>
      <t>·d</t>
    </r>
    <r>
      <rPr>
        <vertAlign val="superscript"/>
        <sz val="10.5"/>
        <color rgb="FF000000"/>
        <rFont val="Times New Roman"/>
        <family val="1"/>
      </rPr>
      <t>-1</t>
    </r>
  </si>
  <si>
    <t>PEClocal.air,ann</t>
    <phoneticPr fontId="4" type="noConversion"/>
  </si>
  <si>
    <t>ElocalSTP.air</t>
    <phoneticPr fontId="4" type="noConversion"/>
  </si>
  <si>
    <t>Cstd.air</t>
    <phoneticPr fontId="4" type="noConversion"/>
  </si>
  <si>
    <t>IRair</t>
    <phoneticPr fontId="4" type="noConversion"/>
  </si>
  <si>
    <t xml:space="preserve">ADDoral-food </t>
    <phoneticPr fontId="4" type="noConversion"/>
  </si>
  <si>
    <t>IRfish</t>
    <phoneticPr fontId="4" type="noConversion"/>
  </si>
  <si>
    <t>Cfish</t>
    <phoneticPr fontId="4" type="noConversion"/>
  </si>
  <si>
    <r>
      <t>kg</t>
    </r>
    <r>
      <rPr>
        <sz val="10.5"/>
        <color theme="1"/>
        <rFont val="Times New Roman"/>
        <family val="1"/>
      </rPr>
      <t>·d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</si>
  <si>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t>ADDT</t>
    <phoneticPr fontId="4" type="noConversion"/>
  </si>
  <si>
    <t>ADDoral-soil</t>
    <phoneticPr fontId="4" type="noConversion"/>
  </si>
  <si>
    <t>PEClocal.soil,porew</t>
    <phoneticPr fontId="4" type="noConversion"/>
  </si>
  <si>
    <t>BMF.1</t>
    <phoneticPr fontId="4" type="noConversion"/>
  </si>
  <si>
    <t>BMF.2</t>
    <phoneticPr fontId="4" type="noConversion"/>
  </si>
  <si>
    <t>PECaqu,predator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</si>
  <si>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</si>
  <si>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</si>
  <si>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</si>
  <si>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</si>
  <si>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蚯蚓</t>
    <phoneticPr fontId="4" type="noConversion"/>
  </si>
  <si>
    <t>蚯蚓密度</t>
  </si>
  <si>
    <r>
      <t>kg</t>
    </r>
    <r>
      <rPr>
        <vertAlign val="subscript"/>
        <sz val="10.5"/>
        <color theme="1"/>
        <rFont val="Times New Roman"/>
        <family val="1"/>
      </rPr>
      <t>wwt</t>
    </r>
    <r>
      <rPr>
        <sz val="10.5"/>
        <color theme="1"/>
        <rFont val="Times New Roman"/>
        <family val="1"/>
      </rPr>
      <t>.L</t>
    </r>
    <r>
      <rPr>
        <vertAlign val="superscript"/>
        <sz val="10.5"/>
        <color theme="1"/>
        <rFont val="Times New Roman"/>
        <family val="1"/>
      </rPr>
      <t>-1</t>
    </r>
  </si>
  <si>
    <r>
      <t>L.kg</t>
    </r>
    <r>
      <rPr>
        <vertAlign val="subscript"/>
        <sz val="10.5"/>
        <color theme="1"/>
        <rFont val="Times New Roman"/>
        <family val="1"/>
      </rPr>
      <t>wwt</t>
    </r>
    <r>
      <rPr>
        <vertAlign val="superscript"/>
        <sz val="10.5"/>
        <color theme="1"/>
        <rFont val="Times New Roman"/>
        <family val="1"/>
      </rPr>
      <t xml:space="preserve"> -1</t>
    </r>
  </si>
  <si>
    <t>Clocal.soil(30)</t>
    <phoneticPr fontId="4" type="noConversion"/>
  </si>
  <si>
    <t>Clocal.soil(180)</t>
    <phoneticPr fontId="4" type="noConversion"/>
  </si>
  <si>
    <t>PEClocal.soil,30</t>
    <phoneticPr fontId="4" type="noConversion"/>
  </si>
  <si>
    <t>PEClocal.soil,180</t>
    <phoneticPr fontId="4" type="noConversion"/>
  </si>
  <si>
    <t>PECter,predator</t>
    <phoneticPr fontId="4" type="noConversion"/>
  </si>
  <si>
    <t>蚯蚓肠道干重占蚯蚓湿重的比例</t>
    <phoneticPr fontId="4" type="noConversion"/>
  </si>
  <si>
    <r>
      <t>kg</t>
    </r>
    <r>
      <rPr>
        <vertAlign val="subscript"/>
        <sz val="10.5"/>
        <color theme="1"/>
        <rFont val="Times New Roman"/>
        <family val="1"/>
      </rPr>
      <t>wwt</t>
    </r>
    <r>
      <rPr>
        <sz val="10.5"/>
        <color theme="1"/>
        <rFont val="Times New Roman"/>
        <family val="1"/>
      </rPr>
      <t>.kg</t>
    </r>
    <r>
      <rPr>
        <vertAlign val="subscript"/>
        <sz val="10.5"/>
        <color theme="1"/>
        <rFont val="Times New Roman"/>
        <family val="1"/>
      </rPr>
      <t>dwt</t>
    </r>
    <r>
      <rPr>
        <vertAlign val="superscript"/>
        <sz val="10.5"/>
        <color theme="1"/>
        <rFont val="Times New Roman"/>
        <family val="1"/>
      </rPr>
      <t>-1</t>
    </r>
  </si>
  <si>
    <t>Fgut.worm</t>
    <phoneticPr fontId="4" type="noConversion"/>
  </si>
  <si>
    <t>BCF.worm</t>
    <phoneticPr fontId="4" type="noConversion"/>
  </si>
  <si>
    <t>PECreg.soil,porew</t>
    <phoneticPr fontId="4" type="noConversion"/>
  </si>
  <si>
    <r>
      <t>kg</t>
    </r>
    <r>
      <rPr>
        <vertAlign val="subscript"/>
        <sz val="11"/>
        <color theme="1"/>
        <rFont val="Times New Roman"/>
        <family val="1"/>
      </rPr>
      <t>wwt</t>
    </r>
    <r>
      <rPr>
        <sz val="11"/>
        <color theme="1"/>
        <rFont val="Times New Roman"/>
        <family val="1"/>
      </rPr>
      <t>·kg</t>
    </r>
    <r>
      <rPr>
        <vertAlign val="subscript"/>
        <sz val="11"/>
        <color theme="1"/>
        <rFont val="Times New Roman"/>
        <family val="1"/>
      </rPr>
      <t>dwt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</si>
  <si>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m</t>
    </r>
    <r>
      <rPr>
        <vertAlign val="super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·m</t>
    </r>
    <r>
      <rPr>
        <vertAlign val="superscript"/>
        <sz val="11"/>
        <color rgb="FF000000"/>
        <rFont val="Times New Roman"/>
        <family val="1"/>
      </rPr>
      <t>-3</t>
    </r>
    <phoneticPr fontId="4" type="noConversion"/>
  </si>
  <si>
    <r>
      <t>kg·kg</t>
    </r>
    <r>
      <rPr>
        <vertAlign val="superscript"/>
        <sz val="11"/>
        <color rgb="FF000000"/>
        <rFont val="Times New Roman"/>
        <family val="1"/>
      </rPr>
      <t>-1</t>
    </r>
    <phoneticPr fontId="4" type="noConversion"/>
  </si>
  <si>
    <r>
      <t>kg</t>
    </r>
    <r>
      <rPr>
        <vertAlign val="subscript"/>
        <sz val="11"/>
        <color rgb="FF000000"/>
        <rFont val="Times New Roman"/>
        <family val="1"/>
      </rPr>
      <t>wet</t>
    </r>
    <r>
      <rPr>
        <sz val="11"/>
        <color rgb="FF000000"/>
        <rFont val="Times New Roman"/>
        <family val="1"/>
      </rPr>
      <t>·m</t>
    </r>
    <r>
      <rPr>
        <vertAlign val="superscript"/>
        <sz val="11"/>
        <color rgb="FF000000"/>
        <rFont val="Times New Roman"/>
        <family val="1"/>
      </rPr>
      <t>-3</t>
    </r>
    <phoneticPr fontId="4" type="noConversion"/>
  </si>
  <si>
    <r>
      <t>kg</t>
    </r>
    <r>
      <rPr>
        <vertAlign val="subscript"/>
        <sz val="11"/>
        <color theme="1"/>
        <rFont val="Times New Roman"/>
        <family val="1"/>
      </rPr>
      <t>dry</t>
    </r>
    <r>
      <rPr>
        <sz val="11"/>
        <color theme="1"/>
        <rFont val="Times New Roman"/>
        <family val="1"/>
      </rPr>
      <t>·kg</t>
    </r>
    <r>
      <rPr>
        <vertAlign val="subscript"/>
        <sz val="11"/>
        <color theme="1"/>
        <rFont val="Times New Roman"/>
        <family val="1"/>
      </rPr>
      <t>wet</t>
    </r>
    <r>
      <rPr>
        <vertAlign val="superscript"/>
        <sz val="11"/>
        <color theme="1"/>
        <rFont val="Times New Roman"/>
        <family val="1"/>
      </rPr>
      <t>-3</t>
    </r>
    <phoneticPr fontId="4" type="noConversion"/>
  </si>
  <si>
    <t>RAINrate</t>
    <phoneticPr fontId="4" type="noConversion"/>
  </si>
  <si>
    <r>
      <t>kg</t>
    </r>
    <r>
      <rPr>
        <vertAlign val="subscript"/>
        <sz val="10.5"/>
        <color theme="1"/>
        <rFont val="Times New Roman"/>
        <family val="1"/>
      </rPr>
      <t>solid·</t>
    </r>
    <r>
      <rPr>
        <sz val="10.5"/>
        <color theme="1"/>
        <rFont val="Times New Roman"/>
        <family val="1"/>
      </rPr>
      <t>m</t>
    </r>
    <r>
      <rPr>
        <vertAlign val="subscript"/>
        <sz val="10.5"/>
        <color theme="1"/>
        <rFont val="Times New Roman"/>
        <family val="1"/>
      </rPr>
      <t>solid</t>
    </r>
    <r>
      <rPr>
        <vertAlign val="superscript"/>
        <sz val="10.5"/>
        <color theme="1"/>
        <rFont val="Times New Roman"/>
        <family val="1"/>
      </rPr>
      <t>-3</t>
    </r>
  </si>
  <si>
    <r>
      <t>kg</t>
    </r>
    <r>
      <rPr>
        <vertAlign val="subscript"/>
        <sz val="10.5"/>
        <color theme="1"/>
        <rFont val="Times New Roman"/>
        <family val="1"/>
      </rPr>
      <t>water·</t>
    </r>
    <r>
      <rPr>
        <sz val="10.5"/>
        <color theme="1"/>
        <rFont val="Times New Roman"/>
        <family val="1"/>
      </rPr>
      <t>m</t>
    </r>
    <r>
      <rPr>
        <vertAlign val="subscript"/>
        <sz val="10.5"/>
        <color theme="1"/>
        <rFont val="Times New Roman"/>
        <family val="1"/>
      </rPr>
      <t>water</t>
    </r>
    <r>
      <rPr>
        <vertAlign val="superscript"/>
        <sz val="10.5"/>
        <color theme="1"/>
        <rFont val="Times New Roman"/>
        <family val="1"/>
      </rPr>
      <t>-3</t>
    </r>
  </si>
  <si>
    <r>
      <t>kg</t>
    </r>
    <r>
      <rPr>
        <vertAlign val="subscript"/>
        <sz val="10.5"/>
        <color theme="1"/>
        <rFont val="Times New Roman"/>
        <family val="1"/>
      </rPr>
      <t>air·</t>
    </r>
    <r>
      <rPr>
        <sz val="10.5"/>
        <color theme="1"/>
        <rFont val="Times New Roman"/>
        <family val="1"/>
      </rPr>
      <t>m</t>
    </r>
    <r>
      <rPr>
        <vertAlign val="subscript"/>
        <sz val="10.5"/>
        <color theme="1"/>
        <rFont val="Times New Roman"/>
        <family val="1"/>
      </rPr>
      <t>air</t>
    </r>
    <r>
      <rPr>
        <vertAlign val="superscript"/>
        <sz val="10.5"/>
        <color theme="1"/>
        <rFont val="Times New Roman"/>
        <family val="1"/>
      </rPr>
      <t>-3</t>
    </r>
  </si>
  <si>
    <r>
      <t>m</t>
    </r>
    <r>
      <rPr>
        <vertAlign val="subscript"/>
        <sz val="10.5"/>
        <color theme="1"/>
        <rFont val="Times New Roman"/>
        <family val="1"/>
      </rPr>
      <t>·</t>
    </r>
    <r>
      <rPr>
        <sz val="10.5"/>
        <color theme="1"/>
        <rFont val="Times New Roman"/>
        <family val="1"/>
      </rPr>
      <t>d</t>
    </r>
    <r>
      <rPr>
        <vertAlign val="superscript"/>
        <sz val="10.5"/>
        <color theme="1"/>
        <rFont val="Times New Roman"/>
        <family val="1"/>
      </rPr>
      <t>-1</t>
    </r>
  </si>
  <si>
    <r>
      <t>mg</t>
    </r>
    <r>
      <rPr>
        <vertAlign val="subscript"/>
        <sz val="10.5"/>
        <color theme="1"/>
        <rFont val="Times New Roman"/>
        <family val="1"/>
      </rPr>
      <t>solid·</t>
    </r>
    <r>
      <rPr>
        <sz val="10.5"/>
        <color theme="1"/>
        <rFont val="Times New Roman"/>
        <family val="1"/>
      </rPr>
      <t>L</t>
    </r>
    <r>
      <rPr>
        <vertAlign val="subscript"/>
        <sz val="10.5"/>
        <color theme="1"/>
        <rFont val="Times New Roman"/>
        <family val="1"/>
      </rPr>
      <t>water</t>
    </r>
    <r>
      <rPr>
        <vertAlign val="superscript"/>
        <sz val="10.5"/>
        <color theme="1"/>
        <rFont val="Times New Roman"/>
        <family val="1"/>
      </rPr>
      <t>-1</t>
    </r>
  </si>
  <si>
    <r>
      <t>m</t>
    </r>
    <r>
      <rPr>
        <vertAlign val="subscript"/>
        <sz val="10.5"/>
        <color theme="1"/>
        <rFont val="Times New Roman"/>
        <family val="1"/>
      </rPr>
      <t>solid</t>
    </r>
    <r>
      <rPr>
        <vertAlign val="superscript"/>
        <sz val="10.5"/>
        <color theme="1"/>
        <rFont val="Times New Roman"/>
        <family val="1"/>
      </rPr>
      <t>3</t>
    </r>
    <r>
      <rPr>
        <vertAlign val="subscript"/>
        <sz val="10.5"/>
        <color theme="1"/>
        <rFont val="Times New Roman"/>
        <family val="1"/>
      </rPr>
      <t>·</t>
    </r>
    <r>
      <rPr>
        <sz val="10.5"/>
        <color theme="1"/>
        <rFont val="Times New Roman"/>
        <family val="1"/>
      </rPr>
      <t>m</t>
    </r>
    <r>
      <rPr>
        <vertAlign val="subscript"/>
        <sz val="10.5"/>
        <color theme="1"/>
        <rFont val="Times New Roman"/>
        <family val="1"/>
      </rPr>
      <t>sed</t>
    </r>
    <r>
      <rPr>
        <vertAlign val="superscript"/>
        <sz val="10.5"/>
        <color theme="1"/>
        <rFont val="Times New Roman"/>
        <family val="1"/>
      </rPr>
      <t>-3</t>
    </r>
  </si>
  <si>
    <r>
      <t>m</t>
    </r>
    <r>
      <rPr>
        <vertAlign val="subscript"/>
        <sz val="10.5"/>
        <color theme="1"/>
        <rFont val="Times New Roman"/>
        <family val="1"/>
      </rPr>
      <t>water</t>
    </r>
    <r>
      <rPr>
        <vertAlign val="superscript"/>
        <sz val="10.5"/>
        <color theme="1"/>
        <rFont val="Times New Roman"/>
        <family val="1"/>
      </rPr>
      <t>3</t>
    </r>
    <r>
      <rPr>
        <vertAlign val="subscript"/>
        <sz val="10.5"/>
        <color theme="1"/>
        <rFont val="Times New Roman"/>
        <family val="1"/>
      </rPr>
      <t>·</t>
    </r>
    <r>
      <rPr>
        <sz val="10.5"/>
        <color theme="1"/>
        <rFont val="Times New Roman"/>
        <family val="1"/>
      </rPr>
      <t>m</t>
    </r>
    <r>
      <rPr>
        <vertAlign val="subscript"/>
        <sz val="10.5"/>
        <color theme="1"/>
        <rFont val="Times New Roman"/>
        <family val="1"/>
      </rPr>
      <t>sed</t>
    </r>
    <r>
      <rPr>
        <vertAlign val="superscript"/>
        <sz val="10.5"/>
        <color theme="1"/>
        <rFont val="Times New Roman"/>
        <family val="1"/>
      </rPr>
      <t>-3</t>
    </r>
  </si>
  <si>
    <r>
      <t>kg</t>
    </r>
    <r>
      <rPr>
        <vertAlign val="subscript"/>
        <sz val="10.5"/>
        <color theme="1"/>
        <rFont val="Times New Roman"/>
        <family val="1"/>
      </rPr>
      <t>oc·</t>
    </r>
    <r>
      <rPr>
        <sz val="10.5"/>
        <color theme="1"/>
        <rFont val="Times New Roman"/>
        <family val="1"/>
      </rPr>
      <t>kg</t>
    </r>
    <r>
      <rPr>
        <vertAlign val="subscript"/>
        <sz val="10.5"/>
        <color theme="1"/>
        <rFont val="Times New Roman"/>
        <family val="1"/>
      </rPr>
      <t>solid</t>
    </r>
    <r>
      <rPr>
        <vertAlign val="superscript"/>
        <sz val="10.5"/>
        <color theme="1"/>
        <rFont val="Times New Roman"/>
        <family val="1"/>
      </rPr>
      <t>-1</t>
    </r>
  </si>
  <si>
    <t>土壤中固体的体积分数</t>
  </si>
  <si>
    <t>土壤中水的体积分数</t>
  </si>
  <si>
    <t>土壤中空气的体积分数</t>
  </si>
  <si>
    <t>土壤固体中有机碳的重量分数</t>
  </si>
  <si>
    <r>
      <t>m</t>
    </r>
    <r>
      <rPr>
        <vertAlign val="subscript"/>
        <sz val="10.5"/>
        <color theme="1"/>
        <rFont val="Times New Roman"/>
        <family val="1"/>
      </rPr>
      <t>solid</t>
    </r>
    <r>
      <rPr>
        <vertAlign val="superscript"/>
        <sz val="10.5"/>
        <color theme="1"/>
        <rFont val="Times New Roman"/>
        <family val="1"/>
      </rPr>
      <t>3</t>
    </r>
    <r>
      <rPr>
        <vertAlign val="subscript"/>
        <sz val="10.5"/>
        <color theme="1"/>
        <rFont val="Times New Roman"/>
        <family val="1"/>
      </rPr>
      <t>·</t>
    </r>
    <r>
      <rPr>
        <sz val="10.5"/>
        <color theme="1"/>
        <rFont val="Times New Roman"/>
        <family val="1"/>
      </rPr>
      <t>m</t>
    </r>
    <r>
      <rPr>
        <vertAlign val="subscript"/>
        <sz val="10.5"/>
        <color theme="1"/>
        <rFont val="Times New Roman"/>
        <family val="1"/>
      </rPr>
      <t>soil</t>
    </r>
    <r>
      <rPr>
        <vertAlign val="superscript"/>
        <sz val="10.5"/>
        <color theme="1"/>
        <rFont val="Times New Roman"/>
        <family val="1"/>
      </rPr>
      <t>-3</t>
    </r>
  </si>
  <si>
    <r>
      <t>m</t>
    </r>
    <r>
      <rPr>
        <vertAlign val="subscript"/>
        <sz val="10.5"/>
        <color theme="1"/>
        <rFont val="Times New Roman"/>
        <family val="1"/>
      </rPr>
      <t>water</t>
    </r>
    <r>
      <rPr>
        <vertAlign val="superscript"/>
        <sz val="10.5"/>
        <color theme="1"/>
        <rFont val="Times New Roman"/>
        <family val="1"/>
      </rPr>
      <t>3</t>
    </r>
    <r>
      <rPr>
        <vertAlign val="subscript"/>
        <sz val="10.5"/>
        <color theme="1"/>
        <rFont val="Times New Roman"/>
        <family val="1"/>
      </rPr>
      <t>·</t>
    </r>
    <r>
      <rPr>
        <sz val="10.5"/>
        <color theme="1"/>
        <rFont val="Times New Roman"/>
        <family val="1"/>
      </rPr>
      <t>m</t>
    </r>
    <r>
      <rPr>
        <vertAlign val="subscript"/>
        <sz val="10.5"/>
        <color theme="1"/>
        <rFont val="Times New Roman"/>
        <family val="1"/>
      </rPr>
      <t>soil</t>
    </r>
    <r>
      <rPr>
        <vertAlign val="superscript"/>
        <sz val="10.5"/>
        <color theme="1"/>
        <rFont val="Times New Roman"/>
        <family val="1"/>
      </rPr>
      <t>-3</t>
    </r>
  </si>
  <si>
    <r>
      <t>m</t>
    </r>
    <r>
      <rPr>
        <vertAlign val="subscript"/>
        <sz val="10.5"/>
        <color theme="1"/>
        <rFont val="Times New Roman"/>
        <family val="1"/>
      </rPr>
      <t>air</t>
    </r>
    <r>
      <rPr>
        <vertAlign val="superscript"/>
        <sz val="10.5"/>
        <color theme="1"/>
        <rFont val="Times New Roman"/>
        <family val="1"/>
      </rPr>
      <t>3</t>
    </r>
    <r>
      <rPr>
        <vertAlign val="subscript"/>
        <sz val="10.5"/>
        <color theme="1"/>
        <rFont val="Times New Roman"/>
        <family val="1"/>
      </rPr>
      <t>·</t>
    </r>
    <r>
      <rPr>
        <sz val="10.5"/>
        <color theme="1"/>
        <rFont val="Times New Roman"/>
        <family val="1"/>
      </rPr>
      <t>m</t>
    </r>
    <r>
      <rPr>
        <vertAlign val="subscript"/>
        <sz val="10.5"/>
        <color theme="1"/>
        <rFont val="Times New Roman"/>
        <family val="1"/>
      </rPr>
      <t>soil</t>
    </r>
    <r>
      <rPr>
        <vertAlign val="superscript"/>
        <sz val="10.5"/>
        <color theme="1"/>
        <rFont val="Times New Roman"/>
        <family val="1"/>
      </rPr>
      <t>-3</t>
    </r>
  </si>
  <si>
    <r>
      <t>g·mol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</si>
  <si>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Biodeg</t>
    <phoneticPr fontId="4" type="noConversion"/>
  </si>
  <si>
    <t>MOLW</t>
    <phoneticPr fontId="4" type="noConversion"/>
  </si>
  <si>
    <t>Sol.TempTest</t>
    <phoneticPr fontId="4" type="noConversion"/>
  </si>
  <si>
    <t>TEMP.SolTest</t>
    <phoneticPr fontId="4" type="noConversion"/>
  </si>
  <si>
    <r>
      <t>mm</t>
    </r>
    <r>
      <rPr>
        <vertAlign val="subscript"/>
        <sz val="10.5"/>
        <color theme="1"/>
        <rFont val="Times New Roman"/>
        <family val="1"/>
      </rPr>
      <t>·</t>
    </r>
    <r>
      <rPr>
        <sz val="10.5"/>
        <color theme="1"/>
        <rFont val="Times New Roman"/>
        <family val="1"/>
      </rPr>
      <t>y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</si>
  <si>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r>
      <t>L·kg</t>
    </r>
    <r>
      <rPr>
        <vertAlign val="subscript"/>
        <sz val="10.5"/>
        <color rgb="FF000000"/>
        <rFont val="Times New Roman"/>
        <family val="1"/>
      </rPr>
      <t>wwt</t>
    </r>
    <r>
      <rPr>
        <vertAlign val="superscript"/>
        <sz val="10.5"/>
        <color rgb="FF000000"/>
        <rFont val="Times New Roman"/>
        <family val="1"/>
      </rPr>
      <t>-1</t>
    </r>
    <phoneticPr fontId="4" type="noConversion"/>
  </si>
  <si>
    <t>℃</t>
    <phoneticPr fontId="4" type="noConversion"/>
  </si>
  <si>
    <t>输入</t>
    <phoneticPr fontId="4" type="noConversion"/>
  </si>
  <si>
    <r>
      <t>mg·kg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</si>
  <si>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t>Csludge.soil.1(0)</t>
    <phoneticPr fontId="4" type="noConversion"/>
  </si>
  <si>
    <r>
      <t>kg·m</t>
    </r>
    <r>
      <rPr>
        <vertAlign val="superscript"/>
        <sz val="11"/>
        <color theme="1"/>
        <rFont val="Times New Roman"/>
        <family val="1"/>
      </rPr>
      <t>-2</t>
    </r>
    <r>
      <rPr>
        <sz val="11"/>
        <color theme="1"/>
        <rFont val="Times New Roman"/>
        <family val="1"/>
      </rPr>
      <t>·y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</si>
  <si>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kg· m</t>
    </r>
    <r>
      <rPr>
        <vertAlign val="superscript"/>
        <sz val="11"/>
        <color theme="1"/>
        <rFont val="Times New Roman"/>
        <family val="1"/>
      </rPr>
      <t>-3</t>
    </r>
    <phoneticPr fontId="4" type="noConversion"/>
  </si>
  <si>
    <r>
      <rPr>
        <sz val="11"/>
        <color theme="1"/>
        <rFont val="宋体"/>
        <family val="2"/>
        <charset val="134"/>
      </rPr>
      <t>参数符号</t>
    </r>
    <phoneticPr fontId="4" type="noConversion"/>
  </si>
  <si>
    <t>Fstp.air</t>
    <phoneticPr fontId="4" type="noConversion"/>
  </si>
  <si>
    <t>Fstp.sludge</t>
    <phoneticPr fontId="4" type="noConversion"/>
  </si>
  <si>
    <t>EFFLUENTstp</t>
    <phoneticPr fontId="4" type="noConversion"/>
  </si>
  <si>
    <t>Kp.susp</t>
    <phoneticPr fontId="4" type="noConversion"/>
  </si>
  <si>
    <t>Kp.sed</t>
    <phoneticPr fontId="4" type="noConversion"/>
  </si>
  <si>
    <t>Elocal.water</t>
    <phoneticPr fontId="4" type="noConversion"/>
  </si>
  <si>
    <t>Fabatement.Water</t>
    <phoneticPr fontId="4" type="noConversion"/>
  </si>
  <si>
    <t>Fabatement.air</t>
    <phoneticPr fontId="4" type="noConversion"/>
  </si>
  <si>
    <t>Fabatement.Soil</t>
    <phoneticPr fontId="4" type="noConversion"/>
  </si>
  <si>
    <t>SUSPCONCinf</t>
    <phoneticPr fontId="4" type="noConversion"/>
  </si>
  <si>
    <t>SURPLUSsludge</t>
    <phoneticPr fontId="4" type="noConversion"/>
  </si>
  <si>
    <t>CAPACITYstp</t>
    <phoneticPr fontId="4" type="noConversion"/>
  </si>
  <si>
    <t>kleach</t>
    <phoneticPr fontId="4" type="noConversion"/>
  </si>
  <si>
    <t>Finf.soil</t>
    <phoneticPr fontId="4" type="noConversion"/>
  </si>
  <si>
    <t>PECreg.water</t>
    <phoneticPr fontId="4" type="noConversion"/>
  </si>
  <si>
    <t>PEClocal.water</t>
    <phoneticPr fontId="4" type="noConversion"/>
  </si>
  <si>
    <t>ADDinh</t>
    <phoneticPr fontId="4" type="noConversion"/>
  </si>
  <si>
    <t>ADDoral-water</t>
  </si>
  <si>
    <t>PECreg.air</t>
    <phoneticPr fontId="4" type="noConversion"/>
  </si>
  <si>
    <t>PEClocal.water,ann</t>
    <phoneticPr fontId="4" type="noConversion"/>
  </si>
  <si>
    <t>PEClocal.grw</t>
    <phoneticPr fontId="4" type="noConversion"/>
  </si>
  <si>
    <t>RHOsolid</t>
  </si>
  <si>
    <t>RHOwater</t>
    <phoneticPr fontId="4" type="noConversion"/>
  </si>
  <si>
    <t>RHOair</t>
    <phoneticPr fontId="4" type="noConversion"/>
  </si>
  <si>
    <t>SUSPwater</t>
    <phoneticPr fontId="4" type="noConversion"/>
  </si>
  <si>
    <t>Fsolid.susp</t>
    <phoneticPr fontId="4" type="noConversion"/>
  </si>
  <si>
    <t>Fwater.susp</t>
    <phoneticPr fontId="4" type="noConversion"/>
  </si>
  <si>
    <t>Foc.susp</t>
    <phoneticPr fontId="4" type="noConversion"/>
  </si>
  <si>
    <t>RHOsusp</t>
    <phoneticPr fontId="4" type="noConversion"/>
  </si>
  <si>
    <t>Fsolid.sed</t>
    <phoneticPr fontId="4" type="noConversion"/>
  </si>
  <si>
    <t>RHO.sed</t>
    <phoneticPr fontId="4" type="noConversion"/>
  </si>
  <si>
    <t>RHOsoil</t>
    <phoneticPr fontId="4" type="noConversion"/>
  </si>
  <si>
    <t>Fsolid.soil</t>
    <phoneticPr fontId="4" type="noConversion"/>
  </si>
  <si>
    <t>Fwater.soil</t>
    <phoneticPr fontId="4" type="noConversion"/>
  </si>
  <si>
    <t>Fair.soil</t>
    <phoneticPr fontId="4" type="noConversion"/>
  </si>
  <si>
    <t>Foc.soil</t>
    <phoneticPr fontId="4" type="noConversion"/>
  </si>
  <si>
    <t>DEPTHsoil</t>
    <phoneticPr fontId="4" type="noConversion"/>
  </si>
  <si>
    <t>APPLsludge</t>
    <phoneticPr fontId="4" type="noConversion"/>
  </si>
  <si>
    <t>RHOworm</t>
    <phoneticPr fontId="4" type="noConversion"/>
  </si>
  <si>
    <t>IRs</t>
    <phoneticPr fontId="4" type="noConversion"/>
  </si>
  <si>
    <t>Csoil5(0)</t>
    <phoneticPr fontId="4" type="noConversion"/>
  </si>
  <si>
    <r>
      <rPr>
        <sz val="11"/>
        <color theme="1"/>
        <rFont val="宋体"/>
        <family val="3"/>
        <charset val="134"/>
      </rPr>
      <t>大气沉降持续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年后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时刻，土壤中化学物质的浓度</t>
    </r>
    <phoneticPr fontId="4" type="noConversion"/>
  </si>
  <si>
    <t>Cdep.soil5(0)</t>
    <phoneticPr fontId="4" type="noConversion"/>
  </si>
  <si>
    <r>
      <rPr>
        <sz val="11"/>
        <color theme="1"/>
        <rFont val="宋体"/>
        <family val="3"/>
        <charset val="134"/>
      </rPr>
      <t>污泥施用持续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年后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时刻，土壤中化学物质的浓度</t>
    </r>
    <phoneticPr fontId="4" type="noConversion"/>
  </si>
  <si>
    <t>Csludge.soil.5(0)</t>
    <phoneticPr fontId="4" type="noConversion"/>
  </si>
  <si>
    <t>-</t>
    <phoneticPr fontId="4" type="noConversion"/>
  </si>
  <si>
    <t>Pa</t>
    <phoneticPr fontId="4" type="noConversion"/>
  </si>
  <si>
    <r>
      <t>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·m</t>
    </r>
    <r>
      <rPr>
        <vertAlign val="superscript"/>
        <sz val="12"/>
        <color theme="1"/>
        <rFont val="Times New Roman"/>
        <family val="1"/>
      </rPr>
      <t>-3</t>
    </r>
    <phoneticPr fontId="4" type="noConversion"/>
  </si>
  <si>
    <t>pa·m</t>
    <phoneticPr fontId="4" type="noConversion"/>
  </si>
  <si>
    <r>
      <rPr>
        <b/>
        <sz val="11"/>
        <color theme="1"/>
        <rFont val="宋体"/>
        <family val="2"/>
        <charset val="134"/>
      </rPr>
      <t>参数名称</t>
    </r>
    <phoneticPr fontId="4" type="noConversion"/>
  </si>
  <si>
    <t>中国（默认）</t>
    <phoneticPr fontId="4" type="noConversion"/>
  </si>
  <si>
    <t>欧盟</t>
    <phoneticPr fontId="4" type="noConversion"/>
  </si>
  <si>
    <r>
      <t>mg</t>
    </r>
    <r>
      <rPr>
        <sz val="10.5"/>
        <color theme="1"/>
        <rFont val="Times New Roman"/>
        <family val="1"/>
      </rPr>
      <t>·d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</si>
  <si>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.eq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.d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</si>
  <si>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kg·d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</si>
  <si>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废气产生系数</t>
    <phoneticPr fontId="4" type="noConversion"/>
  </si>
  <si>
    <t>企业内部减排效率-废水</t>
    <phoneticPr fontId="4" type="noConversion"/>
  </si>
  <si>
    <t>企业内部减排效率-大气</t>
    <phoneticPr fontId="4" type="noConversion"/>
  </si>
  <si>
    <t>Elocalair</t>
    <phoneticPr fontId="4" type="noConversion"/>
  </si>
  <si>
    <r>
      <rPr>
        <b/>
        <sz val="11"/>
        <color theme="1"/>
        <rFont val="宋体"/>
        <family val="2"/>
        <charset val="134"/>
      </rPr>
      <t>参数符号</t>
    </r>
    <phoneticPr fontId="4" type="noConversion"/>
  </si>
  <si>
    <t>Femission</t>
    <phoneticPr fontId="4" type="noConversion"/>
  </si>
  <si>
    <t>Temission</t>
  </si>
  <si>
    <t>Femission.air</t>
    <phoneticPr fontId="4" type="noConversion"/>
  </si>
  <si>
    <t>Elocalwastewater</t>
    <phoneticPr fontId="4" type="noConversion"/>
  </si>
  <si>
    <r>
      <t>F</t>
    </r>
    <r>
      <rPr>
        <sz val="11.5"/>
        <color theme="1"/>
        <rFont val="Times New Roman"/>
        <family val="1"/>
      </rPr>
      <t>variability</t>
    </r>
    <phoneticPr fontId="4" type="noConversion"/>
  </si>
  <si>
    <t>Fabatement.water</t>
    <phoneticPr fontId="4" type="noConversion"/>
  </si>
  <si>
    <r>
      <t>d·y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</si>
  <si>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水溶解度试验温度（TEMP.SolTest）</t>
    <phoneticPr fontId="4" type="noConversion"/>
  </si>
  <si>
    <t>蒸气压试验温度（TEMP.Vptest）</t>
    <phoneticPr fontId="4" type="noConversion"/>
  </si>
  <si>
    <r>
      <rPr>
        <sz val="11"/>
        <color theme="1"/>
        <rFont val="宋体"/>
        <family val="3"/>
        <charset val="134"/>
      </rPr>
      <t>分子量（</t>
    </r>
    <r>
      <rPr>
        <sz val="11"/>
        <color theme="1"/>
        <rFont val="Times New Roman"/>
        <family val="1"/>
      </rPr>
      <t>MOLW</t>
    </r>
    <r>
      <rPr>
        <sz val="11"/>
        <color theme="1"/>
        <rFont val="宋体"/>
        <family val="3"/>
        <charset val="134"/>
      </rPr>
      <t>）</t>
    </r>
    <phoneticPr fontId="4" type="noConversion"/>
  </si>
  <si>
    <r>
      <rPr>
        <sz val="11"/>
        <color theme="1"/>
        <rFont val="宋体"/>
        <family val="3"/>
        <charset val="134"/>
      </rPr>
      <t>蒸气压（</t>
    </r>
    <r>
      <rPr>
        <sz val="11"/>
        <color theme="1"/>
        <rFont val="Times New Roman"/>
        <family val="1"/>
      </rPr>
      <t>Vp.temptest</t>
    </r>
    <r>
      <rPr>
        <sz val="11"/>
        <color theme="1"/>
        <rFont val="宋体"/>
        <family val="3"/>
        <charset val="134"/>
      </rPr>
      <t>）</t>
    </r>
    <phoneticPr fontId="4" type="noConversion"/>
  </si>
  <si>
    <r>
      <rPr>
        <sz val="11"/>
        <color theme="1"/>
        <rFont val="宋体"/>
        <family val="3"/>
        <charset val="134"/>
      </rPr>
      <t>水溶解度（</t>
    </r>
    <r>
      <rPr>
        <sz val="11"/>
        <color theme="1"/>
        <rFont val="Times New Roman"/>
        <family val="1"/>
      </rPr>
      <t>Sol.TempTest</t>
    </r>
    <r>
      <rPr>
        <sz val="11"/>
        <color theme="1"/>
        <rFont val="宋体"/>
        <family val="3"/>
        <charset val="134"/>
      </rPr>
      <t>）</t>
    </r>
    <phoneticPr fontId="4" type="noConversion"/>
  </si>
  <si>
    <r>
      <rPr>
        <sz val="11"/>
        <color theme="1"/>
        <rFont val="宋体"/>
        <family val="2"/>
        <charset val="134"/>
      </rPr>
      <t>有机碳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水分配系数（</t>
    </r>
    <r>
      <rPr>
        <sz val="11"/>
        <color theme="1"/>
        <rFont val="Times New Roman"/>
        <family val="1"/>
      </rPr>
      <t>Koc</t>
    </r>
    <r>
      <rPr>
        <sz val="11"/>
        <color theme="1"/>
        <rFont val="宋体"/>
        <family val="2"/>
        <charset val="134"/>
      </rPr>
      <t>）</t>
    </r>
    <phoneticPr fontId="4" type="noConversion"/>
  </si>
  <si>
    <r>
      <rPr>
        <sz val="11"/>
        <color theme="1"/>
        <rFont val="宋体"/>
        <family val="3"/>
        <charset val="134"/>
      </rPr>
      <t>是否固体</t>
    </r>
    <r>
      <rPr>
        <sz val="11"/>
        <color theme="1"/>
        <rFont val="Times New Roman"/>
        <family val="1"/>
      </rPr>
      <t>(Solid)</t>
    </r>
    <phoneticPr fontId="4" type="noConversion"/>
  </si>
  <si>
    <r>
      <rPr>
        <sz val="11"/>
        <color theme="1"/>
        <rFont val="宋体"/>
        <family val="3"/>
        <charset val="134"/>
      </rPr>
      <t>℃</t>
    </r>
    <phoneticPr fontId="4" type="noConversion"/>
  </si>
  <si>
    <r>
      <rPr>
        <sz val="11"/>
        <color theme="1"/>
        <rFont val="宋体"/>
        <family val="3"/>
        <charset val="134"/>
      </rPr>
      <t>正辛醇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水分配系数（</t>
    </r>
    <r>
      <rPr>
        <sz val="11"/>
        <color theme="1"/>
        <rFont val="Times New Roman"/>
        <family val="1"/>
      </rPr>
      <t>Kow</t>
    </r>
    <r>
      <rPr>
        <sz val="11"/>
        <color theme="1"/>
        <rFont val="宋体"/>
        <family val="3"/>
        <charset val="134"/>
      </rPr>
      <t>）</t>
    </r>
    <phoneticPr fontId="4" type="noConversion"/>
  </si>
  <si>
    <r>
      <rPr>
        <sz val="11"/>
        <color theme="1"/>
        <rFont val="宋体"/>
        <family val="2"/>
        <charset val="134"/>
      </rPr>
      <t>大气排放率（</t>
    </r>
    <r>
      <rPr>
        <sz val="11"/>
        <color theme="1"/>
        <rFont val="Times New Roman"/>
        <family val="1"/>
      </rPr>
      <t>Elocal.air</t>
    </r>
    <r>
      <rPr>
        <sz val="11"/>
        <color theme="1"/>
        <rFont val="宋体"/>
        <family val="2"/>
        <charset val="134"/>
      </rPr>
      <t>）</t>
    </r>
    <phoneticPr fontId="4" type="noConversion"/>
  </si>
  <si>
    <t>物质信息</t>
    <phoneticPr fontId="4" type="noConversion"/>
  </si>
  <si>
    <t>排放信息</t>
    <phoneticPr fontId="4" type="noConversion"/>
  </si>
  <si>
    <t>-</t>
    <phoneticPr fontId="4" type="noConversion"/>
  </si>
  <si>
    <t>输入值</t>
    <phoneticPr fontId="4" type="noConversion"/>
  </si>
  <si>
    <t>Fstp.water</t>
    <phoneticPr fontId="4" type="noConversion"/>
  </si>
  <si>
    <t>排放持续时间（Temission）</t>
    <phoneticPr fontId="4" type="noConversion"/>
  </si>
  <si>
    <r>
      <t>d·y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</si>
  <si>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区域浓度</t>
    <phoneticPr fontId="4" type="noConversion"/>
  </si>
  <si>
    <t>PECreg.soil</t>
    <phoneticPr fontId="4" type="noConversion"/>
  </si>
  <si>
    <r>
      <rPr>
        <sz val="11"/>
        <color theme="1"/>
        <rFont val="宋体"/>
        <family val="2"/>
        <charset val="134"/>
      </rPr>
      <t>参数名称</t>
    </r>
    <phoneticPr fontId="4" type="noConversion"/>
  </si>
  <si>
    <r>
      <rPr>
        <sz val="11"/>
        <color theme="1"/>
        <rFont val="宋体"/>
        <family val="2"/>
        <charset val="134"/>
      </rPr>
      <t>参数单位</t>
    </r>
    <phoneticPr fontId="4" type="noConversion"/>
  </si>
  <si>
    <r>
      <rPr>
        <sz val="11"/>
        <color theme="1"/>
        <rFont val="宋体"/>
        <family val="2"/>
        <charset val="134"/>
      </rPr>
      <t>输入值</t>
    </r>
    <phoneticPr fontId="4" type="noConversion"/>
  </si>
  <si>
    <r>
      <rPr>
        <sz val="11"/>
        <color theme="1"/>
        <rFont val="宋体"/>
        <family val="2"/>
        <charset val="134"/>
      </rPr>
      <t>中国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默认</t>
    </r>
    <r>
      <rPr>
        <sz val="11"/>
        <color theme="1"/>
        <rFont val="Times New Roman"/>
        <family val="1"/>
      </rPr>
      <t>)</t>
    </r>
    <phoneticPr fontId="4" type="noConversion"/>
  </si>
  <si>
    <r>
      <rPr>
        <sz val="11"/>
        <color theme="1"/>
        <rFont val="宋体"/>
        <family val="3"/>
        <charset val="134"/>
      </rPr>
      <t>欧盟</t>
    </r>
    <phoneticPr fontId="4" type="noConversion"/>
  </si>
  <si>
    <r>
      <rPr>
        <b/>
        <sz val="11"/>
        <color theme="1"/>
        <rFont val="宋体"/>
        <family val="3"/>
        <charset val="134"/>
      </rPr>
      <t>基本性质</t>
    </r>
    <phoneticPr fontId="4" type="noConversion"/>
  </si>
  <si>
    <r>
      <rPr>
        <sz val="11"/>
        <color theme="1"/>
        <rFont val="宋体"/>
        <family val="3"/>
        <charset val="134"/>
      </rPr>
      <t>是否固体</t>
    </r>
    <r>
      <rPr>
        <sz val="11"/>
        <color theme="1"/>
        <rFont val="Times New Roman"/>
        <family val="1"/>
      </rPr>
      <t>(yes or no)</t>
    </r>
    <phoneticPr fontId="4" type="noConversion"/>
  </si>
  <si>
    <r>
      <rPr>
        <sz val="11"/>
        <color theme="1"/>
        <rFont val="宋体"/>
        <family val="3"/>
        <charset val="134"/>
      </rPr>
      <t>某场景涉及的化学物质的年使用量</t>
    </r>
    <phoneticPr fontId="4" type="noConversion"/>
  </si>
  <si>
    <r>
      <t>kg·y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</si>
  <si>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分子量</t>
    </r>
    <phoneticPr fontId="4" type="noConversion"/>
  </si>
  <si>
    <r>
      <t>g·mol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</si>
  <si>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输入蒸气压</t>
    </r>
    <phoneticPr fontId="4" type="noConversion"/>
  </si>
  <si>
    <r>
      <rPr>
        <sz val="11"/>
        <color theme="1"/>
        <rFont val="宋体"/>
        <family val="3"/>
        <charset val="134"/>
      </rPr>
      <t>蒸气压试验温度</t>
    </r>
    <phoneticPr fontId="4" type="noConversion"/>
  </si>
  <si>
    <r>
      <rPr>
        <sz val="11"/>
        <color theme="1"/>
        <rFont val="宋体"/>
        <family val="3"/>
        <charset val="134"/>
      </rPr>
      <t>环境温度下的蒸气压</t>
    </r>
    <phoneticPr fontId="4" type="noConversion"/>
  </si>
  <si>
    <r>
      <rPr>
        <sz val="11"/>
        <color theme="1"/>
        <rFont val="宋体"/>
        <family val="3"/>
        <charset val="134"/>
      </rPr>
      <t>输入水溶解度</t>
    </r>
    <phoneticPr fontId="4" type="noConversion"/>
  </si>
  <si>
    <r>
      <t>mg·L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</si>
  <si>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水溶解度试验温度</t>
    </r>
    <phoneticPr fontId="4" type="noConversion"/>
  </si>
  <si>
    <r>
      <rPr>
        <sz val="11"/>
        <color theme="1"/>
        <rFont val="宋体"/>
        <family val="3"/>
        <charset val="134"/>
      </rPr>
      <t>环境温度下的水溶解度</t>
    </r>
    <phoneticPr fontId="4" type="noConversion"/>
  </si>
  <si>
    <r>
      <t xml:space="preserve">    </t>
    </r>
    <r>
      <rPr>
        <sz val="11"/>
        <color theme="1"/>
        <rFont val="宋体"/>
        <family val="2"/>
        <charset val="134"/>
      </rPr>
      <t>有机碳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水分配系数</t>
    </r>
    <phoneticPr fontId="4" type="noConversion"/>
  </si>
  <si>
    <r>
      <t>L·kg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</si>
  <si>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生物降解性</t>
    </r>
    <phoneticPr fontId="4" type="noConversion"/>
  </si>
  <si>
    <r>
      <rPr>
        <sz val="11"/>
        <color theme="1"/>
        <rFont val="宋体"/>
        <family val="3"/>
        <charset val="134"/>
      </rPr>
      <t>不可生物降解</t>
    </r>
  </si>
  <si>
    <r>
      <rPr>
        <sz val="11"/>
        <color theme="1"/>
        <rFont val="宋体"/>
        <family val="3"/>
        <charset val="134"/>
      </rPr>
      <t>熔点</t>
    </r>
    <phoneticPr fontId="4" type="noConversion"/>
  </si>
  <si>
    <r>
      <rPr>
        <sz val="11"/>
        <color theme="1"/>
        <rFont val="宋体"/>
        <family val="3"/>
        <charset val="134"/>
      </rPr>
      <t>过冷液体蒸气压</t>
    </r>
    <phoneticPr fontId="4" type="noConversion"/>
  </si>
  <si>
    <r>
      <t xml:space="preserve">    </t>
    </r>
    <r>
      <rPr>
        <sz val="11"/>
        <color theme="1"/>
        <rFont val="宋体"/>
        <family val="3"/>
        <charset val="134"/>
      </rPr>
      <t>土壤固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水分配系数</t>
    </r>
    <phoneticPr fontId="4" type="noConversion"/>
  </si>
  <si>
    <r>
      <t>L·kg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</si>
  <si>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 xml:space="preserve">    </t>
    </r>
    <r>
      <rPr>
        <sz val="11"/>
        <color theme="1"/>
        <rFont val="宋体"/>
        <family val="2"/>
        <charset val="134"/>
      </rPr>
      <t>悬浮物固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水分配系数</t>
    </r>
    <phoneticPr fontId="4" type="noConversion"/>
  </si>
  <si>
    <r>
      <rPr>
        <sz val="11"/>
        <color theme="1"/>
        <rFont val="宋体"/>
        <family val="3"/>
        <charset val="134"/>
      </rPr>
      <t>亨利常数</t>
    </r>
    <phoneticPr fontId="4" type="noConversion"/>
  </si>
  <si>
    <r>
      <rPr>
        <sz val="11"/>
        <color theme="1"/>
        <rFont val="宋体"/>
        <family val="3"/>
        <charset val="134"/>
      </rPr>
      <t>气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水分配系数</t>
    </r>
    <phoneticPr fontId="4" type="noConversion"/>
  </si>
  <si>
    <r>
      <rPr>
        <sz val="11"/>
        <color theme="1"/>
        <rFont val="宋体"/>
        <family val="3"/>
        <charset val="134"/>
      </rPr>
      <t>土壤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水分配系数</t>
    </r>
    <phoneticPr fontId="4" type="noConversion"/>
  </si>
  <si>
    <r>
      <rPr>
        <sz val="11"/>
        <color theme="1"/>
        <rFont val="宋体"/>
        <family val="3"/>
        <charset val="134"/>
      </rPr>
      <t>悬浮颗粒物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水分配系数</t>
    </r>
    <phoneticPr fontId="4" type="noConversion"/>
  </si>
  <si>
    <r>
      <rPr>
        <sz val="11"/>
        <color theme="1"/>
        <rFont val="宋体"/>
        <family val="2"/>
        <charset val="134"/>
      </rPr>
      <t>沉积物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2"/>
        <charset val="134"/>
      </rPr>
      <t>水分配</t>
    </r>
    <phoneticPr fontId="4" type="noConversion"/>
  </si>
  <si>
    <r>
      <t>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·m</t>
    </r>
    <r>
      <rPr>
        <vertAlign val="superscript"/>
        <sz val="12"/>
        <color theme="1"/>
        <rFont val="Times New Roman"/>
        <family val="1"/>
      </rPr>
      <t>-3</t>
    </r>
    <phoneticPr fontId="4" type="noConversion"/>
  </si>
  <si>
    <r>
      <rPr>
        <sz val="11"/>
        <color theme="1"/>
        <rFont val="宋体"/>
        <family val="3"/>
        <charset val="134"/>
      </rPr>
      <t>吸附于气溶胶颗粒的比例</t>
    </r>
    <phoneticPr fontId="4" type="noConversion"/>
  </si>
  <si>
    <r>
      <t>Junge</t>
    </r>
    <r>
      <rPr>
        <sz val="11"/>
        <color theme="1"/>
        <rFont val="宋体"/>
        <family val="3"/>
        <charset val="134"/>
      </rPr>
      <t>常数</t>
    </r>
    <phoneticPr fontId="4" type="noConversion"/>
  </si>
  <si>
    <r>
      <rPr>
        <sz val="11"/>
        <color theme="1"/>
        <rFont val="宋体"/>
        <family val="3"/>
        <charset val="134"/>
      </rPr>
      <t>气溶胶颗粒的表面积</t>
    </r>
    <phoneticPr fontId="4" type="noConversion"/>
  </si>
  <si>
    <r>
      <rPr>
        <sz val="11"/>
        <color theme="1"/>
        <rFont val="宋体"/>
        <family val="3"/>
        <charset val="134"/>
      </rPr>
      <t>鱼类生物蓄积系数</t>
    </r>
    <phoneticPr fontId="4" type="noConversion"/>
  </si>
  <si>
    <r>
      <t>L·kg</t>
    </r>
    <r>
      <rPr>
        <vertAlign val="subscript"/>
        <sz val="10.5"/>
        <color rgb="FF000000"/>
        <rFont val="Times New Roman"/>
        <family val="1"/>
      </rPr>
      <t>wet</t>
    </r>
    <r>
      <rPr>
        <vertAlign val="superscript"/>
        <sz val="10.5"/>
        <color rgb="FF000000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</si>
  <si>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鱼类生物放大系数</t>
    </r>
    <phoneticPr fontId="4" type="noConversion"/>
  </si>
  <si>
    <r>
      <rPr>
        <sz val="11"/>
        <color theme="1"/>
        <rFont val="宋体"/>
        <family val="3"/>
        <charset val="134"/>
      </rPr>
      <t>捕食动物生物放大系数</t>
    </r>
    <phoneticPr fontId="4" type="noConversion"/>
  </si>
  <si>
    <r>
      <rPr>
        <sz val="11"/>
        <color theme="1"/>
        <rFont val="宋体"/>
        <family val="3"/>
        <charset val="134"/>
      </rPr>
      <t>蚯蚓的生物富集系数</t>
    </r>
    <phoneticPr fontId="4" type="noConversion"/>
  </si>
  <si>
    <r>
      <rPr>
        <sz val="11"/>
        <color theme="1"/>
        <rFont val="宋体"/>
        <family val="3"/>
        <charset val="134"/>
      </rPr>
      <t>土壤降解速率常数</t>
    </r>
    <phoneticPr fontId="4" type="noConversion"/>
  </si>
  <si>
    <r>
      <rPr>
        <sz val="11"/>
        <color theme="1"/>
        <rFont val="宋体"/>
        <family val="3"/>
        <charset val="134"/>
      </rPr>
      <t>排放系数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水</t>
    </r>
    <phoneticPr fontId="4" type="noConversion"/>
  </si>
  <si>
    <r>
      <rPr>
        <sz val="11"/>
        <color theme="1"/>
        <rFont val="宋体"/>
        <family val="3"/>
        <charset val="134"/>
      </rPr>
      <t>排放系数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大气</t>
    </r>
    <phoneticPr fontId="4" type="noConversion"/>
  </si>
  <si>
    <r>
      <rPr>
        <sz val="11"/>
        <color theme="1"/>
        <rFont val="宋体"/>
        <family val="3"/>
        <charset val="134"/>
      </rPr>
      <t>排放系数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土壤</t>
    </r>
    <phoneticPr fontId="4" type="noConversion"/>
  </si>
  <si>
    <r>
      <rPr>
        <sz val="11"/>
        <color theme="1"/>
        <rFont val="宋体"/>
        <family val="3"/>
        <charset val="134"/>
      </rPr>
      <t>局部点源的比例</t>
    </r>
    <phoneticPr fontId="4" type="noConversion"/>
  </si>
  <si>
    <r>
      <rPr>
        <sz val="11"/>
        <color theme="1"/>
        <rFont val="宋体"/>
        <family val="3"/>
        <charset val="134"/>
      </rPr>
      <t>风险控制措施的减排效率</t>
    </r>
    <phoneticPr fontId="4" type="noConversion"/>
  </si>
  <si>
    <r>
      <rPr>
        <sz val="11"/>
        <color theme="1"/>
        <rFont val="宋体"/>
        <family val="3"/>
        <charset val="134"/>
      </rPr>
      <t>使用阶段排放持续的时间</t>
    </r>
    <phoneticPr fontId="4" type="noConversion"/>
  </si>
  <si>
    <r>
      <rPr>
        <b/>
        <sz val="11"/>
        <color theme="1"/>
        <rFont val="宋体"/>
        <family val="3"/>
        <charset val="134"/>
      </rPr>
      <t>污水处理厂归趋</t>
    </r>
    <phoneticPr fontId="4" type="noConversion"/>
  </si>
  <si>
    <r>
      <rPr>
        <sz val="11"/>
        <color theme="1"/>
        <rFont val="宋体"/>
        <family val="2"/>
        <charset val="134"/>
      </rPr>
      <t>经由污水处理厂排放的化学物质进入水体的比例</t>
    </r>
    <phoneticPr fontId="4" type="noConversion"/>
  </si>
  <si>
    <r>
      <rPr>
        <sz val="11"/>
        <color theme="1"/>
        <rFont val="宋体"/>
        <family val="3"/>
        <charset val="134"/>
      </rPr>
      <t>特征参数</t>
    </r>
    <phoneticPr fontId="4" type="noConversion"/>
  </si>
  <si>
    <r>
      <rPr>
        <sz val="11"/>
        <color theme="1"/>
        <rFont val="宋体"/>
        <family val="2"/>
        <charset val="134"/>
      </rPr>
      <t>经由污水处理厂排放的化学物质进入大气的比例</t>
    </r>
    <phoneticPr fontId="4" type="noConversion"/>
  </si>
  <si>
    <r>
      <rPr>
        <sz val="11"/>
        <color theme="1"/>
        <rFont val="宋体"/>
        <family val="2"/>
        <charset val="134"/>
      </rPr>
      <t>经由污水处理厂排放的化学物质进入污泥的比例</t>
    </r>
    <phoneticPr fontId="4" type="noConversion"/>
  </si>
  <si>
    <r>
      <rPr>
        <sz val="11"/>
        <color theme="1"/>
        <rFont val="宋体"/>
        <family val="3"/>
        <charset val="134"/>
      </rPr>
      <t>污水处理厂向大气环境间接排放化学物质的日排放量</t>
    </r>
    <phoneticPr fontId="4" type="noConversion"/>
  </si>
  <si>
    <r>
      <rPr>
        <sz val="11"/>
        <color theme="1"/>
        <rFont val="宋体"/>
        <family val="3"/>
        <charset val="134"/>
      </rPr>
      <t>干污泥中化学物质浓度</t>
    </r>
    <phoneticPr fontId="4" type="noConversion"/>
  </si>
  <si>
    <r>
      <rPr>
        <sz val="11"/>
        <color theme="1"/>
        <rFont val="宋体"/>
        <family val="2"/>
        <charset val="134"/>
      </rPr>
      <t>特征参数</t>
    </r>
    <phoneticPr fontId="4" type="noConversion"/>
  </si>
  <si>
    <r>
      <rPr>
        <b/>
        <sz val="11"/>
        <color theme="1"/>
        <rFont val="宋体"/>
        <family val="3"/>
        <charset val="134"/>
      </rPr>
      <t>地表水</t>
    </r>
    <phoneticPr fontId="4" type="noConversion"/>
  </si>
  <si>
    <r>
      <rPr>
        <b/>
        <sz val="11"/>
        <color theme="1"/>
        <rFont val="宋体"/>
        <family val="2"/>
        <charset val="134"/>
      </rPr>
      <t>化学物质大气沉降通量</t>
    </r>
    <phoneticPr fontId="4" type="noConversion"/>
  </si>
  <si>
    <r>
      <rPr>
        <sz val="11"/>
        <color theme="1"/>
        <rFont val="宋体"/>
        <family val="3"/>
        <charset val="134"/>
      </rPr>
      <t>大气日沉降通量</t>
    </r>
    <phoneticPr fontId="4" type="noConversion"/>
  </si>
  <si>
    <r>
      <t>mg· m</t>
    </r>
    <r>
      <rPr>
        <vertAlign val="superscript"/>
        <sz val="11"/>
        <color theme="1"/>
        <rFont val="Times New Roman"/>
        <family val="1"/>
      </rPr>
      <t>-2</t>
    </r>
    <r>
      <rPr>
        <sz val="11"/>
        <color theme="1"/>
        <rFont val="Times New Roman"/>
        <family val="1"/>
      </rPr>
      <t>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</si>
  <si>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化学物质大气年平均沉降通量</t>
    </r>
    <phoneticPr fontId="4" type="noConversion"/>
  </si>
  <si>
    <r>
      <t>mg· m</t>
    </r>
    <r>
      <rPr>
        <vertAlign val="superscript"/>
        <sz val="11"/>
        <color theme="1"/>
        <rFont val="Times New Roman"/>
        <family val="1"/>
      </rPr>
      <t>-2</t>
    </r>
    <r>
      <rPr>
        <sz val="11"/>
        <color theme="1"/>
        <rFont val="Times New Roman"/>
        <family val="1"/>
      </rPr>
      <t>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</si>
  <si>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土壤中大气日沉降通量</t>
    </r>
    <phoneticPr fontId="4" type="noConversion"/>
  </si>
  <si>
    <r>
      <t>mg·kg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</si>
  <si>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源强为</t>
    </r>
    <r>
      <rPr>
        <sz val="11"/>
        <color theme="1"/>
        <rFont val="Times New Roman"/>
        <family val="1"/>
      </rPr>
      <t>1 kg·d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宋体"/>
        <family val="3"/>
        <charset val="134"/>
      </rPr>
      <t>时空气中的浓度</t>
    </r>
    <phoneticPr fontId="4" type="noConversion"/>
  </si>
  <si>
    <r>
      <t>mg·m</t>
    </r>
    <r>
      <rPr>
        <vertAlign val="superscript"/>
        <sz val="10"/>
        <rFont val="Times New Roman"/>
        <family val="1"/>
      </rPr>
      <t>-3</t>
    </r>
    <phoneticPr fontId="4" type="noConversion"/>
  </si>
  <si>
    <r>
      <t>mg·m</t>
    </r>
    <r>
      <rPr>
        <vertAlign val="superscript"/>
        <sz val="10"/>
        <rFont val="Times New Roman"/>
        <family val="1"/>
      </rPr>
      <t>-3</t>
    </r>
    <phoneticPr fontId="4" type="noConversion"/>
  </si>
  <si>
    <r>
      <rPr>
        <sz val="11"/>
        <color theme="1"/>
        <rFont val="宋体"/>
        <family val="3"/>
        <charset val="134"/>
      </rPr>
      <t>大气中局部年均预测环境浓度</t>
    </r>
    <phoneticPr fontId="4" type="noConversion"/>
  </si>
  <si>
    <r>
      <t>mg·m</t>
    </r>
    <r>
      <rPr>
        <vertAlign val="superscript"/>
        <sz val="10"/>
        <rFont val="Times New Roman"/>
        <family val="1"/>
      </rPr>
      <t>-3</t>
    </r>
    <phoneticPr fontId="4" type="noConversion"/>
  </si>
  <si>
    <r>
      <rPr>
        <b/>
        <sz val="11"/>
        <color theme="1"/>
        <rFont val="宋体"/>
        <family val="3"/>
        <charset val="134"/>
      </rPr>
      <t>土壤中化学物质的去除</t>
    </r>
    <phoneticPr fontId="4" type="noConversion"/>
  </si>
  <si>
    <r>
      <rPr>
        <sz val="11"/>
        <color theme="1"/>
        <rFont val="宋体"/>
        <family val="3"/>
        <charset val="134"/>
      </rPr>
      <t>土壤中降解速率</t>
    </r>
    <phoneticPr fontId="4" type="noConversion"/>
  </si>
  <si>
    <r>
      <t>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</si>
  <si>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 xml:space="preserve">  </t>
    </r>
    <r>
      <rPr>
        <sz val="11"/>
        <color theme="1"/>
        <rFont val="宋体"/>
        <family val="3"/>
        <charset val="134"/>
      </rPr>
      <t>土壤中化学物质挥发的准一级反应速率常数</t>
    </r>
    <phoneticPr fontId="4" type="noConversion"/>
  </si>
  <si>
    <r>
      <t>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</si>
  <si>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空气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土壤界面气相侧传质系数</t>
    </r>
    <phoneticPr fontId="4" type="noConversion"/>
  </si>
  <si>
    <r>
      <rPr>
        <sz val="11"/>
        <color theme="1"/>
        <rFont val="宋体"/>
        <family val="3"/>
        <charset val="134"/>
      </rPr>
      <t>土壤中挥发校正系数</t>
    </r>
    <phoneticPr fontId="4" type="noConversion"/>
  </si>
  <si>
    <r>
      <t xml:space="preserve">  </t>
    </r>
    <r>
      <rPr>
        <sz val="11"/>
        <color theme="1"/>
        <rFont val="宋体"/>
        <family val="3"/>
        <charset val="134"/>
      </rPr>
      <t>顶层土壤化学物质淋溶的准一级反应速率常数</t>
    </r>
    <phoneticPr fontId="4" type="noConversion"/>
  </si>
  <si>
    <r>
      <rPr>
        <sz val="11"/>
        <color theme="1"/>
        <rFont val="宋体"/>
        <family val="3"/>
        <charset val="134"/>
      </rPr>
      <t>渗透进入土壤的雨水比例</t>
    </r>
    <phoneticPr fontId="4" type="noConversion"/>
  </si>
  <si>
    <r>
      <rPr>
        <sz val="11"/>
        <color theme="1"/>
        <rFont val="宋体"/>
        <family val="3"/>
        <charset val="134"/>
      </rPr>
      <t>自然土壤有效平流速率</t>
    </r>
    <phoneticPr fontId="4" type="noConversion"/>
  </si>
  <si>
    <r>
      <rPr>
        <sz val="11"/>
        <color theme="1"/>
        <rFont val="宋体"/>
        <family val="3"/>
        <charset val="134"/>
      </rPr>
      <t>自然土壤有效扩散系数</t>
    </r>
    <phoneticPr fontId="4" type="noConversion"/>
  </si>
  <si>
    <r>
      <t>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</si>
  <si>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自然土壤可渗透深度</t>
    </r>
    <phoneticPr fontId="4" type="noConversion"/>
  </si>
  <si>
    <r>
      <rPr>
        <b/>
        <sz val="11"/>
        <color theme="1"/>
        <rFont val="宋体"/>
        <family val="3"/>
        <charset val="134"/>
      </rPr>
      <t>土壤中化学物质暴露浓度</t>
    </r>
    <phoneticPr fontId="4" type="noConversion"/>
  </si>
  <si>
    <r>
      <rPr>
        <sz val="11"/>
        <color theme="1"/>
        <rFont val="宋体"/>
        <family val="3"/>
        <charset val="134"/>
      </rPr>
      <t>污泥施用及大气沉降持续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年后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时刻</t>
    </r>
    <phoneticPr fontId="4" type="noConversion"/>
  </si>
  <si>
    <r>
      <rPr>
        <sz val="11"/>
        <color theme="1"/>
        <rFont val="宋体"/>
        <family val="3"/>
        <charset val="134"/>
      </rPr>
      <t>大气沉降持续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年后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3"/>
        <charset val="134"/>
      </rPr>
      <t>时刻，土壤中化学物质的浓度</t>
    </r>
    <phoneticPr fontId="4" type="noConversion"/>
  </si>
  <si>
    <r>
      <rPr>
        <sz val="11"/>
        <color theme="1"/>
        <rFont val="宋体"/>
        <family val="3"/>
        <charset val="134"/>
      </rPr>
      <t>一年内化学物质在土壤中累积的比例</t>
    </r>
    <phoneticPr fontId="4" type="noConversion"/>
  </si>
  <si>
    <r>
      <rPr>
        <sz val="11"/>
        <color theme="1"/>
        <rFont val="宋体"/>
        <family val="3"/>
        <charset val="134"/>
      </rPr>
      <t>土壤中点源化学物质平均浓度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污泥施用后</t>
    </r>
    <r>
      <rPr>
        <sz val="11"/>
        <color theme="1"/>
        <rFont val="Times New Roman"/>
        <family val="1"/>
      </rPr>
      <t>30d)</t>
    </r>
    <phoneticPr fontId="4" type="noConversion"/>
  </si>
  <si>
    <r>
      <rPr>
        <sz val="11"/>
        <color theme="1"/>
        <rFont val="宋体"/>
        <family val="3"/>
        <charset val="134"/>
      </rPr>
      <t>土壤中点源化学物质平均浓度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污泥施用后</t>
    </r>
    <r>
      <rPr>
        <sz val="11"/>
        <color theme="1"/>
        <rFont val="Times New Roman"/>
        <family val="1"/>
      </rPr>
      <t>180d)</t>
    </r>
    <phoneticPr fontId="4" type="noConversion"/>
  </si>
  <si>
    <r>
      <rPr>
        <sz val="11"/>
        <color theme="1"/>
        <rFont val="宋体"/>
        <family val="3"/>
        <charset val="134"/>
      </rPr>
      <t>孔隙水中的浓度</t>
    </r>
    <phoneticPr fontId="4" type="noConversion"/>
  </si>
  <si>
    <r>
      <t>mg</t>
    </r>
    <r>
      <rPr>
        <vertAlign val="subscript"/>
        <sz val="10.5"/>
        <color theme="1"/>
        <rFont val="Times New Roman"/>
        <family val="1"/>
      </rPr>
      <t>wwt</t>
    </r>
    <r>
      <rPr>
        <sz val="10.5"/>
        <color theme="1"/>
        <rFont val="Times New Roman"/>
        <family val="1"/>
      </rPr>
      <t>·L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</si>
  <si>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r>
      <rPr>
        <b/>
        <sz val="11"/>
        <color theme="1"/>
        <rFont val="宋体"/>
        <family val="3"/>
        <charset val="134"/>
      </rPr>
      <t>二次中毒</t>
    </r>
    <phoneticPr fontId="4" type="noConversion"/>
  </si>
  <si>
    <r>
      <rPr>
        <sz val="11"/>
        <color theme="1"/>
        <rFont val="宋体"/>
        <family val="3"/>
        <charset val="134"/>
      </rPr>
      <t>鱼体中化学物质浓度</t>
    </r>
    <phoneticPr fontId="4" type="noConversion"/>
  </si>
  <si>
    <r>
      <t>mg·kg</t>
    </r>
    <r>
      <rPr>
        <vertAlign val="subscript"/>
        <sz val="10.5"/>
        <color theme="1"/>
        <rFont val="Times New Roman"/>
        <family val="1"/>
      </rPr>
      <t>wwt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</si>
  <si>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水生捕食动物浓度</t>
    </r>
    <phoneticPr fontId="4" type="noConversion"/>
  </si>
  <si>
    <r>
      <rPr>
        <sz val="11"/>
        <color theme="1"/>
        <rFont val="宋体"/>
        <family val="3"/>
        <charset val="134"/>
      </rPr>
      <t>水生顶级捕食动物浓度</t>
    </r>
    <phoneticPr fontId="4" type="noConversion"/>
  </si>
  <si>
    <r>
      <t>mg·kg</t>
    </r>
    <r>
      <rPr>
        <vertAlign val="subscript"/>
        <sz val="10.5"/>
        <color theme="1"/>
        <rFont val="Times New Roman"/>
        <family val="1"/>
      </rPr>
      <t>wwt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</si>
  <si>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陆生捕食动物暴露浓度</t>
    </r>
    <phoneticPr fontId="4" type="noConversion"/>
  </si>
  <si>
    <r>
      <rPr>
        <b/>
        <sz val="11"/>
        <color theme="1"/>
        <rFont val="宋体"/>
        <family val="3"/>
        <charset val="134"/>
      </rPr>
      <t>区域预测环境浓度</t>
    </r>
    <phoneticPr fontId="4" type="noConversion"/>
  </si>
  <si>
    <r>
      <rPr>
        <sz val="11"/>
        <color theme="1"/>
        <rFont val="宋体"/>
        <family val="3"/>
        <charset val="134"/>
      </rPr>
      <t>区域大气预测环境浓度</t>
    </r>
    <phoneticPr fontId="4" type="noConversion"/>
  </si>
  <si>
    <r>
      <rPr>
        <sz val="11"/>
        <color theme="1"/>
        <rFont val="宋体"/>
        <family val="2"/>
        <charset val="134"/>
      </rPr>
      <t>区域水体中化学物质的浓度</t>
    </r>
    <phoneticPr fontId="4" type="noConversion"/>
  </si>
  <si>
    <r>
      <rPr>
        <sz val="11"/>
        <color theme="1"/>
        <rFont val="宋体"/>
        <family val="3"/>
        <charset val="134"/>
      </rPr>
      <t>区域土壤中化学物质的浓度</t>
    </r>
    <phoneticPr fontId="4" type="noConversion"/>
  </si>
  <si>
    <r>
      <t>mg·kg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</si>
  <si>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区域土壤孔隙水化学物质的浓度</t>
    </r>
    <phoneticPr fontId="4" type="noConversion"/>
  </si>
  <si>
    <r>
      <rPr>
        <b/>
        <sz val="11"/>
        <color theme="1"/>
        <rFont val="宋体"/>
        <family val="3"/>
        <charset val="134"/>
      </rPr>
      <t>局部预测环境浓度</t>
    </r>
    <phoneticPr fontId="4" type="noConversion"/>
  </si>
  <si>
    <r>
      <t>STP</t>
    </r>
    <r>
      <rPr>
        <sz val="11"/>
        <color theme="1"/>
        <rFont val="宋体"/>
        <family val="3"/>
        <charset val="134"/>
      </rPr>
      <t>出水中化学物质的预测环境浓度</t>
    </r>
    <phoneticPr fontId="4" type="noConversion"/>
  </si>
  <si>
    <r>
      <rPr>
        <sz val="11"/>
        <color theme="1"/>
        <rFont val="宋体"/>
        <family val="2"/>
        <charset val="134"/>
      </rPr>
      <t>水体中化学物质的预测环境浓度</t>
    </r>
    <phoneticPr fontId="4" type="noConversion"/>
  </si>
  <si>
    <r>
      <rPr>
        <sz val="11"/>
        <color theme="1"/>
        <rFont val="宋体"/>
        <family val="2"/>
        <charset val="134"/>
      </rPr>
      <t>地表水年均局部预测环境浓度</t>
    </r>
    <phoneticPr fontId="4" type="noConversion"/>
  </si>
  <si>
    <r>
      <rPr>
        <sz val="11"/>
        <color theme="1"/>
        <rFont val="宋体"/>
        <family val="3"/>
        <charset val="134"/>
      </rPr>
      <t>沉积物的预测环境浓度</t>
    </r>
    <phoneticPr fontId="4" type="noConversion"/>
  </si>
  <si>
    <r>
      <rPr>
        <sz val="11"/>
        <color theme="1"/>
        <rFont val="宋体"/>
        <family val="3"/>
        <charset val="134"/>
      </rPr>
      <t>土壤中点源化学物质的预测环境浓度</t>
    </r>
    <r>
      <rPr>
        <sz val="11"/>
        <color theme="1"/>
        <rFont val="Times New Roman"/>
        <family val="1"/>
      </rPr>
      <t>(30</t>
    </r>
    <r>
      <rPr>
        <sz val="11"/>
        <color theme="1"/>
        <rFont val="宋体"/>
        <family val="3"/>
        <charset val="134"/>
      </rPr>
      <t>天平均</t>
    </r>
    <r>
      <rPr>
        <sz val="11"/>
        <color theme="1"/>
        <rFont val="Times New Roman"/>
        <family val="1"/>
      </rPr>
      <t>)</t>
    </r>
    <phoneticPr fontId="4" type="noConversion"/>
  </si>
  <si>
    <r>
      <rPr>
        <sz val="11"/>
        <color theme="1"/>
        <rFont val="宋体"/>
        <family val="3"/>
        <charset val="134"/>
      </rPr>
      <t>土壤中点源化学物质的预测环境浓度</t>
    </r>
    <r>
      <rPr>
        <sz val="11"/>
        <color theme="1"/>
        <rFont val="Times New Roman"/>
        <family val="1"/>
      </rPr>
      <t>(30</t>
    </r>
    <r>
      <rPr>
        <sz val="11"/>
        <color theme="1"/>
        <rFont val="宋体"/>
        <family val="3"/>
        <charset val="134"/>
      </rPr>
      <t>天平均</t>
    </r>
    <r>
      <rPr>
        <sz val="11"/>
        <color theme="1"/>
        <rFont val="Times New Roman"/>
        <family val="1"/>
      </rPr>
      <t>)</t>
    </r>
    <phoneticPr fontId="4" type="noConversion"/>
  </si>
  <si>
    <r>
      <t>mg·kg</t>
    </r>
    <r>
      <rPr>
        <vertAlign val="subscript"/>
        <sz val="10.5"/>
        <rFont val="Times New Roman"/>
        <family val="1"/>
      </rPr>
      <t>wwt</t>
    </r>
    <r>
      <rPr>
        <vertAlign val="superscript"/>
        <sz val="10.5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</si>
  <si>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地下水中化学物质局部预测环境浓度</t>
    </r>
    <phoneticPr fontId="4" type="noConversion"/>
  </si>
  <si>
    <r>
      <rPr>
        <b/>
        <sz val="11"/>
        <color theme="1"/>
        <rFont val="宋体"/>
        <family val="3"/>
        <charset val="134"/>
      </rPr>
      <t>人体健康暴露估计</t>
    </r>
    <phoneticPr fontId="4" type="noConversion"/>
  </si>
  <si>
    <r>
      <rPr>
        <sz val="10.5"/>
        <color rgb="FF000000"/>
        <rFont val="宋体"/>
        <family val="3"/>
        <charset val="134"/>
      </rPr>
      <t>吸入途径化学物质日均暴露量</t>
    </r>
  </si>
  <si>
    <r>
      <rPr>
        <sz val="11"/>
        <color theme="1"/>
        <rFont val="宋体"/>
        <family val="3"/>
        <charset val="134"/>
      </rPr>
      <t>经口摄入土壤中化学物质的日均暴露量</t>
    </r>
    <phoneticPr fontId="4" type="noConversion"/>
  </si>
  <si>
    <r>
      <rPr>
        <sz val="11"/>
        <color theme="1"/>
        <rFont val="宋体"/>
        <family val="3"/>
        <charset val="134"/>
      </rPr>
      <t>经口摄食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鱼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途径化学物质日均暴露量</t>
    </r>
    <phoneticPr fontId="4" type="noConversion"/>
  </si>
  <si>
    <r>
      <rPr>
        <sz val="10.5"/>
        <color rgb="FF000000"/>
        <rFont val="宋体"/>
        <family val="3"/>
        <charset val="134"/>
      </rPr>
      <t>饮水途径化学物质日均暴露量</t>
    </r>
  </si>
  <si>
    <r>
      <rPr>
        <b/>
        <sz val="10.5"/>
        <color rgb="FF000000"/>
        <rFont val="宋体"/>
        <family val="3"/>
        <charset val="134"/>
      </rPr>
      <t>不同途径的化学物质日均总暴露量</t>
    </r>
    <phoneticPr fontId="4" type="noConversion"/>
  </si>
  <si>
    <t>大气（PECreg.air）</t>
    <phoneticPr fontId="4" type="noConversion"/>
  </si>
  <si>
    <t>水体（PECreg.water）</t>
    <phoneticPr fontId="4" type="noConversion"/>
  </si>
  <si>
    <t>土壤（PECreg.soil）</t>
    <phoneticPr fontId="4" type="noConversion"/>
  </si>
  <si>
    <t>BCF.fish</t>
    <phoneticPr fontId="4" type="noConversion"/>
  </si>
  <si>
    <t>STP</t>
    <phoneticPr fontId="4" type="noConversion"/>
  </si>
  <si>
    <t>地下水</t>
    <phoneticPr fontId="4" type="noConversion"/>
  </si>
  <si>
    <r>
      <rPr>
        <sz val="11"/>
        <color theme="1"/>
        <rFont val="宋体"/>
        <family val="3"/>
        <charset val="134"/>
      </rPr>
      <t>经口摄食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鱼</t>
    </r>
    <r>
      <rPr>
        <sz val="11"/>
        <color theme="1"/>
        <rFont val="Times New Roman"/>
        <family val="1"/>
      </rPr>
      <t>)</t>
    </r>
    <phoneticPr fontId="4" type="noConversion"/>
  </si>
  <si>
    <t>饮水</t>
    <phoneticPr fontId="4" type="noConversion"/>
  </si>
  <si>
    <t>不同途径总暴露量</t>
    <phoneticPr fontId="4" type="noConversion"/>
  </si>
  <si>
    <t>结果</t>
    <phoneticPr fontId="4" type="noConversion"/>
  </si>
  <si>
    <t>参数单位</t>
    <phoneticPr fontId="4" type="noConversion"/>
  </si>
  <si>
    <t>水生捕食动物</t>
    <phoneticPr fontId="4" type="noConversion"/>
  </si>
  <si>
    <t>陆生捕食动物</t>
    <phoneticPr fontId="4" type="noConversion"/>
  </si>
  <si>
    <t>PECaqu,predator</t>
    <phoneticPr fontId="4" type="noConversion"/>
  </si>
  <si>
    <t>PECaqu,toppredator</t>
    <phoneticPr fontId="4" type="noConversion"/>
  </si>
  <si>
    <r>
      <t>mg·L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</si>
  <si>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t>IRwater</t>
    <phoneticPr fontId="4" type="noConversion"/>
  </si>
  <si>
    <r>
      <t>kg·d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</si>
  <si>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kg·d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</si>
  <si>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广泛分散使用源直排地表水浓度</t>
    <phoneticPr fontId="4" type="noConversion"/>
  </si>
  <si>
    <t>Clocal.directwater</t>
    <phoneticPr fontId="4" type="noConversion"/>
  </si>
  <si>
    <t>Elocal.directwater</t>
    <phoneticPr fontId="4" type="noConversion"/>
  </si>
  <si>
    <r>
      <rPr>
        <sz val="11"/>
        <color theme="1"/>
        <rFont val="宋体"/>
        <family val="3"/>
        <charset val="134"/>
      </rPr>
      <t>直排废水排放率（</t>
    </r>
    <r>
      <rPr>
        <sz val="11"/>
        <color theme="1"/>
        <rFont val="Times New Roman"/>
        <family val="1"/>
      </rPr>
      <t>Elocal.directwater</t>
    </r>
    <r>
      <rPr>
        <sz val="11"/>
        <color theme="1"/>
        <rFont val="宋体"/>
        <family val="3"/>
        <charset val="134"/>
      </rPr>
      <t>）</t>
    </r>
    <phoneticPr fontId="4" type="noConversion"/>
  </si>
  <si>
    <t>F.directwater</t>
    <phoneticPr fontId="4" type="noConversion"/>
  </si>
  <si>
    <t>日排放率（土壤）</t>
    <phoneticPr fontId="4" type="noConversion"/>
  </si>
  <si>
    <t>-</t>
    <phoneticPr fontId="4" type="noConversion"/>
  </si>
  <si>
    <t>工业源</t>
  </si>
  <si>
    <t>排放源类型（Source.type）</t>
    <phoneticPr fontId="4" type="noConversion"/>
  </si>
  <si>
    <t>Source.type</t>
    <phoneticPr fontId="4" type="noConversion"/>
  </si>
  <si>
    <t>排放源类型</t>
    <phoneticPr fontId="4" type="noConversion"/>
  </si>
  <si>
    <r>
      <t>kg·d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</si>
  <si>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mg·L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</si>
  <si>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kg·d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</si>
  <si>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kg·d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</si>
  <si>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mg·L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</si>
  <si>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STP 间接排放地表水浓度</t>
    <phoneticPr fontId="4" type="noConversion"/>
  </si>
  <si>
    <t>ADDoral-fish</t>
    <phoneticPr fontId="4" type="noConversion"/>
  </si>
  <si>
    <t>人体暴露参数(成人)</t>
    <phoneticPr fontId="4" type="noConversion"/>
  </si>
  <si>
    <t>环境PNEC</t>
    <phoneticPr fontId="4" type="noConversion"/>
  </si>
  <si>
    <t>健康DNEL</t>
    <phoneticPr fontId="4" type="noConversion"/>
  </si>
  <si>
    <t>风险商</t>
    <phoneticPr fontId="4" type="noConversion"/>
  </si>
  <si>
    <t>风险商</t>
    <phoneticPr fontId="4" type="noConversion"/>
  </si>
  <si>
    <t>风险表征</t>
    <phoneticPr fontId="4" type="noConversion"/>
  </si>
  <si>
    <t>校验值（甲苯）</t>
    <phoneticPr fontId="4" type="noConversion"/>
  </si>
  <si>
    <t>废水直排比例</t>
    <phoneticPr fontId="4" type="noConversion"/>
  </si>
  <si>
    <t>广泛分散使用源向地表水直排排放率</t>
    <phoneticPr fontId="4" type="noConversion"/>
  </si>
  <si>
    <t>广泛分散使用源向STP废水的排放率</t>
    <phoneticPr fontId="4" type="noConversion"/>
  </si>
  <si>
    <t>Femission.wastewater</t>
    <phoneticPr fontId="4" type="noConversion"/>
  </si>
  <si>
    <t>Temission</t>
    <phoneticPr fontId="4" type="noConversion"/>
  </si>
  <si>
    <t>Fmain</t>
    <phoneticPr fontId="4" type="noConversion"/>
  </si>
  <si>
    <t>Freg</t>
    <phoneticPr fontId="4" type="noConversion"/>
  </si>
  <si>
    <t>Flocal</t>
    <phoneticPr fontId="4" type="noConversion"/>
  </si>
  <si>
    <t>STP服务区域用量占区域用量的比例</t>
    <phoneticPr fontId="4" type="noConversion"/>
  </si>
  <si>
    <t>环境排放量</t>
    <phoneticPr fontId="4" type="noConversion"/>
  </si>
  <si>
    <t>辅助计算环境排放率，计算后手动输入到input</t>
    <phoneticPr fontId="4" type="noConversion"/>
  </si>
  <si>
    <t>Elocalstp.water</t>
    <phoneticPr fontId="4" type="noConversion"/>
  </si>
  <si>
    <r>
      <t>kg·d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</si>
  <si>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Elocal.water*1000000*Fstp.water/(EFFLUENTstp*1000)</t>
    <phoneticPr fontId="4" type="noConversion"/>
  </si>
  <si>
    <t>污水处理厂日处理量</t>
    <phoneticPr fontId="4" type="noConversion"/>
  </si>
  <si>
    <t>吸入</t>
    <phoneticPr fontId="4" type="noConversion"/>
  </si>
  <si>
    <r>
      <rPr>
        <sz val="11"/>
        <color theme="1"/>
        <rFont val="宋体"/>
        <family val="3"/>
        <charset val="134"/>
      </rPr>
      <t>鱼类生物富集性（</t>
    </r>
    <r>
      <rPr>
        <sz val="11"/>
        <color theme="1"/>
        <rFont val="Times New Roman"/>
        <family val="1"/>
      </rPr>
      <t>BCF.fish</t>
    </r>
    <r>
      <rPr>
        <sz val="11"/>
        <color theme="1"/>
        <rFont val="宋体"/>
        <family val="3"/>
        <charset val="134"/>
      </rPr>
      <t>）</t>
    </r>
    <phoneticPr fontId="4" type="noConversion"/>
  </si>
  <si>
    <t>F.pur</t>
    <phoneticPr fontId="4" type="noConversion"/>
  </si>
  <si>
    <t>地表水生物降解速率常数</t>
    <phoneticPr fontId="4" type="noConversion"/>
  </si>
  <si>
    <t>kbio.fresh</t>
    <phoneticPr fontId="4" type="noConversion"/>
  </si>
  <si>
    <t>未进行温度校正</t>
    <phoneticPr fontId="4" type="noConversion"/>
  </si>
  <si>
    <t>-</t>
    <phoneticPr fontId="4" type="noConversion"/>
  </si>
  <si>
    <r>
      <t>mg·L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</si>
  <si>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r>
      <t>mg·L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</si>
  <si>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t>饮用水净化后剩余因子</t>
    <phoneticPr fontId="4" type="noConversion"/>
  </si>
  <si>
    <t>局部环境饮用水浓度</t>
    <phoneticPr fontId="4" type="noConversion"/>
  </si>
  <si>
    <t>PEC.drwL</t>
    <phoneticPr fontId="4" type="noConversion"/>
  </si>
  <si>
    <r>
      <rPr>
        <sz val="11"/>
        <color theme="1"/>
        <rFont val="宋体"/>
        <family val="3"/>
        <charset val="134"/>
      </rPr>
      <t>熔点（</t>
    </r>
    <r>
      <rPr>
        <sz val="11"/>
        <color theme="1"/>
        <rFont val="Times New Roman"/>
        <family val="1"/>
      </rPr>
      <t>TEMPmelt</t>
    </r>
    <r>
      <rPr>
        <sz val="11"/>
        <color theme="1"/>
        <rFont val="宋体"/>
        <family val="3"/>
        <charset val="134"/>
      </rPr>
      <t>）</t>
    </r>
    <phoneticPr fontId="4" type="noConversion"/>
  </si>
  <si>
    <r>
      <rPr>
        <sz val="11"/>
        <color theme="1"/>
        <rFont val="宋体"/>
        <family val="2"/>
        <charset val="134"/>
      </rPr>
      <t>废水排放率（</t>
    </r>
    <r>
      <rPr>
        <sz val="11"/>
        <color theme="1"/>
        <rFont val="Times New Roman"/>
        <family val="1"/>
      </rPr>
      <t>Elocal.water</t>
    </r>
    <r>
      <rPr>
        <sz val="11"/>
        <color theme="1"/>
        <rFont val="宋体"/>
        <family val="2"/>
        <charset val="134"/>
      </rPr>
      <t>）</t>
    </r>
    <phoneticPr fontId="4" type="noConversion"/>
  </si>
  <si>
    <r>
      <t>mg·kg</t>
    </r>
    <r>
      <rPr>
        <vertAlign val="superscript"/>
        <sz val="11"/>
        <rFont val="Times New Roman"/>
        <family val="1"/>
      </rPr>
      <t>-1</t>
    </r>
    <phoneticPr fontId="4" type="noConversion"/>
  </si>
  <si>
    <r>
      <t>mg·kg</t>
    </r>
    <r>
      <rPr>
        <vertAlign val="superscript"/>
        <sz val="10.5"/>
        <rFont val="Times New Roman"/>
        <family val="1"/>
      </rPr>
      <t>-1</t>
    </r>
    <phoneticPr fontId="4" type="noConversion"/>
  </si>
  <si>
    <t>默认参数</t>
    <phoneticPr fontId="4" type="noConversion"/>
  </si>
  <si>
    <t>参数名称</t>
    <phoneticPr fontId="4" type="noConversion"/>
  </si>
  <si>
    <t>参数符号</t>
    <phoneticPr fontId="4" type="noConversion"/>
  </si>
  <si>
    <r>
      <rPr>
        <sz val="11"/>
        <color theme="1"/>
        <rFont val="宋体"/>
        <family val="3"/>
        <charset val="134"/>
      </rPr>
      <t>生物降解性（</t>
    </r>
    <r>
      <rPr>
        <sz val="11"/>
        <color theme="1"/>
        <rFont val="Times New Roman"/>
        <family val="1"/>
      </rPr>
      <t>Biodeg</t>
    </r>
    <r>
      <rPr>
        <sz val="11"/>
        <color theme="1"/>
        <rFont val="宋体"/>
        <family val="3"/>
        <charset val="134"/>
      </rPr>
      <t>）</t>
    </r>
    <phoneticPr fontId="4" type="noConversion"/>
  </si>
  <si>
    <t>Solid</t>
    <phoneticPr fontId="4" type="noConversion"/>
  </si>
  <si>
    <t>水解速率常数</t>
    <phoneticPr fontId="4" type="noConversion"/>
  </si>
  <si>
    <t>khydr.water</t>
    <phoneticPr fontId="4" type="noConversion"/>
  </si>
  <si>
    <t>kbio.stp</t>
    <phoneticPr fontId="4" type="noConversion"/>
  </si>
  <si>
    <t>活性污泥中生物降解速率常数</t>
    <phoneticPr fontId="4" type="noConversion"/>
  </si>
  <si>
    <t>kdeg.stp</t>
    <phoneticPr fontId="4" type="noConversion"/>
  </si>
  <si>
    <r>
      <rPr>
        <sz val="11"/>
        <color theme="1"/>
        <rFont val="宋体"/>
        <family val="3"/>
        <charset val="134"/>
      </rPr>
      <t>水解速率常数（</t>
    </r>
    <r>
      <rPr>
        <sz val="11"/>
        <color theme="1"/>
        <rFont val="Times New Roman"/>
        <family val="1"/>
      </rPr>
      <t>khydr.water</t>
    </r>
    <r>
      <rPr>
        <sz val="11"/>
        <color theme="1"/>
        <rFont val="宋体"/>
        <family val="3"/>
        <charset val="134"/>
      </rPr>
      <t>）</t>
    </r>
    <phoneticPr fontId="4" type="noConversion"/>
  </si>
  <si>
    <t>快速生物降解</t>
  </si>
  <si>
    <r>
      <t>h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</si>
  <si>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h</t>
    </r>
    <r>
      <rPr>
        <vertAlign val="superscript"/>
        <sz val="10.5"/>
        <color rgb="FF000000"/>
        <rFont val="Times New Roman"/>
        <family val="1"/>
      </rPr>
      <t>-1</t>
    </r>
    <phoneticPr fontId="4" type="noConversion"/>
  </si>
  <si>
    <r>
      <t>h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</si>
  <si>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h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</si>
  <si>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h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</si>
  <si>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t>活性污泥中总降解速率常数</t>
    <phoneticPr fontId="4" type="noConversion"/>
  </si>
  <si>
    <t>使用试验数据</t>
    <phoneticPr fontId="4" type="noConversion"/>
  </si>
  <si>
    <t>暂未考虑</t>
    <phoneticPr fontId="4" type="noConversion"/>
  </si>
  <si>
    <t>水中悬浮物密度（以湿重计）</t>
    <phoneticPr fontId="4" type="noConversion"/>
  </si>
  <si>
    <r>
      <t>kg</t>
    </r>
    <r>
      <rPr>
        <vertAlign val="subscript"/>
        <sz val="10.5"/>
        <color theme="1"/>
        <rFont val="Times New Roman"/>
        <family val="1"/>
      </rPr>
      <t>dwt</t>
    </r>
    <r>
      <rPr>
        <sz val="10.5"/>
        <color theme="1"/>
        <rFont val="Times New Roman"/>
        <family val="1"/>
      </rPr>
      <t>.kg</t>
    </r>
    <r>
      <rPr>
        <vertAlign val="subscript"/>
        <sz val="10.5"/>
        <color theme="1"/>
        <rFont val="Times New Roman"/>
        <family val="1"/>
      </rPr>
      <t>wwt</t>
    </r>
    <r>
      <rPr>
        <vertAlign val="superscript"/>
        <sz val="10.5"/>
        <color theme="1"/>
        <rFont val="Times New Roman"/>
        <family val="1"/>
      </rPr>
      <t>-1</t>
    </r>
    <phoneticPr fontId="4" type="noConversion"/>
  </si>
  <si>
    <t>no</t>
  </si>
  <si>
    <t>环境风速</t>
    <phoneticPr fontId="4" type="noConversion"/>
  </si>
  <si>
    <r>
      <t>m.s</t>
    </r>
    <r>
      <rPr>
        <vertAlign val="superscript"/>
        <sz val="12"/>
        <rFont val="Times New Roman"/>
        <family val="1"/>
      </rPr>
      <t>-1</t>
    </r>
    <phoneticPr fontId="55" type="noConversion"/>
  </si>
  <si>
    <t>v.wind</t>
    <phoneticPr fontId="4" type="noConversion"/>
  </si>
  <si>
    <t>环境行为与归趋参数</t>
    <phoneticPr fontId="4" type="noConversion"/>
  </si>
  <si>
    <t>日排放率（废水，进入STP）</t>
    <phoneticPr fontId="4" type="noConversion"/>
  </si>
  <si>
    <t>日排放率（大气）</t>
    <phoneticPr fontId="4" type="noConversion"/>
  </si>
  <si>
    <t>日排放率（直排地表水）</t>
    <phoneticPr fontId="4" type="noConversion"/>
  </si>
  <si>
    <t>保护目标（生态环境）</t>
    <phoneticPr fontId="4" type="noConversion"/>
  </si>
  <si>
    <t>保护目标（一般人群）</t>
    <phoneticPr fontId="4" type="noConversion"/>
  </si>
  <si>
    <t>大气中光解速率常数</t>
    <phoneticPr fontId="4" type="noConversion"/>
  </si>
  <si>
    <t>kdeg.air</t>
    <phoneticPr fontId="4" type="noConversion"/>
  </si>
  <si>
    <t>地表水中总降解速率常数</t>
    <phoneticPr fontId="4" type="noConversion"/>
  </si>
  <si>
    <t>kdeg.water</t>
    <phoneticPr fontId="4" type="noConversion"/>
  </si>
  <si>
    <t>沉积物中的生物降解速率常数</t>
    <phoneticPr fontId="4" type="noConversion"/>
  </si>
  <si>
    <t>kbio.sed</t>
    <phoneticPr fontId="4" type="noConversion"/>
  </si>
  <si>
    <r>
      <t>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</si>
  <si>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h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</si>
  <si>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t>d</t>
    </r>
    <r>
      <rPr>
        <vertAlign val="superscript"/>
        <sz val="11"/>
        <color theme="1"/>
        <rFont val="Times New Roman"/>
        <family val="1"/>
      </rPr>
      <t>-1</t>
    </r>
    <phoneticPr fontId="4" type="noConversion"/>
  </si>
  <si>
    <r>
      <rPr>
        <sz val="11"/>
        <color theme="1"/>
        <rFont val="宋体"/>
        <family val="3"/>
        <charset val="134"/>
      </rPr>
      <t>沉积物固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水分配系数</t>
    </r>
    <phoneticPr fontId="4" type="noConversion"/>
  </si>
  <si>
    <t>暂时不用，以后可能也用不到</t>
    <phoneticPr fontId="4" type="noConversion"/>
  </si>
  <si>
    <t>暂时无，后续肯定加进去</t>
    <phoneticPr fontId="4" type="noConversion"/>
  </si>
  <si>
    <t>必须输入</t>
    <phoneticPr fontId="4" type="noConversion"/>
  </si>
  <si>
    <t>可选，否则为默认值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</si>
</sst>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"/>
    <numFmt numFmtId="177" formatCode="0.000"/>
    <numFmt numFmtId="178" formatCode="0.00000"/>
    <numFmt numFmtId="179" formatCode="0.0000"/>
    <numFmt numFmtId="180" formatCode="0.0E+00"/>
    <numFmt numFmtId="181" formatCode="0.000000"/>
    <numFmt numFmtId="182" formatCode="0.000E+00"/>
    <numFmt numFmtId="183" formatCode="0.00_);[Red]\(0.00\)"/>
    <numFmt numFmtId="184" formatCode="0.0_ "/>
    <numFmt numFmtId="185" formatCode="0_ "/>
    <numFmt numFmtId="186" formatCode="0.00_ "/>
  </numFmts>
  <fonts count="56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.5"/>
      <color theme="1"/>
      <name val="Times New Roman"/>
      <family val="1"/>
    </font>
    <font>
      <vertAlign val="superscript"/>
      <sz val="10.5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charset val="134"/>
    </font>
    <font>
      <b/>
      <sz val="10.5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vertAlign val="superscript"/>
      <sz val="11"/>
      <name val="Times New Roman"/>
      <family val="1"/>
    </font>
    <font>
      <sz val="10.5"/>
      <name val="Times New Roman"/>
      <family val="1"/>
    </font>
    <font>
      <vertAlign val="superscript"/>
      <sz val="10.5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i/>
      <sz val="10.5"/>
      <color theme="1"/>
      <name val="宋体"/>
      <family val="3"/>
      <charset val="134"/>
    </font>
    <font>
      <b/>
      <sz val="10.5"/>
      <color theme="1"/>
      <name val="宋体"/>
      <family val="3"/>
      <charset val="134"/>
      <scheme val="minor"/>
    </font>
    <font>
      <b/>
      <vertAlign val="superscript"/>
      <sz val="10.5"/>
      <color theme="1"/>
      <name val="Times New Roman"/>
      <family val="1"/>
    </font>
    <font>
      <sz val="10.5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TimesNewRomanPSMT"/>
      <family val="1"/>
    </font>
    <font>
      <vertAlign val="subscript"/>
      <sz val="10.5"/>
      <color rgb="FF000000"/>
      <name val="Times New Roman"/>
      <family val="1"/>
    </font>
    <font>
      <b/>
      <sz val="11"/>
      <name val="Times New Roman"/>
      <family val="1"/>
    </font>
    <font>
      <vertAlign val="subscript"/>
      <sz val="10.5"/>
      <name val="Times New Roman"/>
      <family val="1"/>
    </font>
    <font>
      <vertAlign val="subscript"/>
      <sz val="11"/>
      <color rgb="FF000000"/>
      <name val="Times New Roman"/>
      <family val="1"/>
    </font>
    <font>
      <sz val="11"/>
      <color theme="8"/>
      <name val="Times New Roman"/>
      <family val="1"/>
    </font>
    <font>
      <sz val="11.5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b/>
      <sz val="10.5"/>
      <color rgb="FF00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9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7" fillId="5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17" fillId="5" borderId="0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16" fillId="5" borderId="1" xfId="0" applyFont="1" applyFill="1" applyBorder="1">
      <alignment vertical="center"/>
    </xf>
    <xf numFmtId="0" fontId="1" fillId="5" borderId="1" xfId="0" applyFont="1" applyFill="1" applyBorder="1" applyAlignment="1">
      <alignment horizontal="left" vertical="center"/>
    </xf>
    <xf numFmtId="0" fontId="20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0" fillId="4" borderId="0" xfId="0" applyFill="1" applyBorder="1">
      <alignment vertical="center"/>
    </xf>
    <xf numFmtId="0" fontId="2" fillId="6" borderId="1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/>
    </xf>
    <xf numFmtId="180" fontId="2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 vertical="center" wrapText="1"/>
    </xf>
    <xf numFmtId="180" fontId="2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11" fontId="2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1" fontId="2" fillId="6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>
      <alignment vertical="center"/>
    </xf>
    <xf numFmtId="0" fontId="21" fillId="4" borderId="1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80" fontId="8" fillId="4" borderId="1" xfId="0" applyNumberFormat="1" applyFont="1" applyFill="1" applyBorder="1" applyAlignment="1">
      <alignment horizontal="center" vertical="center" wrapText="1"/>
    </xf>
    <xf numFmtId="11" fontId="21" fillId="4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11" fontId="2" fillId="6" borderId="1" xfId="0" applyNumberFormat="1" applyFont="1" applyFill="1" applyBorder="1" applyAlignment="1">
      <alignment horizontal="center" vertical="center"/>
    </xf>
    <xf numFmtId="0" fontId="5" fillId="4" borderId="0" xfId="0" applyFont="1" applyFill="1" applyBorder="1">
      <alignment vertical="center"/>
    </xf>
    <xf numFmtId="0" fontId="3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179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10" fillId="4" borderId="1" xfId="0" applyFont="1" applyFill="1" applyBorder="1" applyAlignment="1">
      <alignment horizontal="left" vertical="center" wrapText="1"/>
    </xf>
    <xf numFmtId="180" fontId="21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82" fontId="2" fillId="4" borderId="1" xfId="0" applyNumberFormat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/>
    </xf>
    <xf numFmtId="181" fontId="19" fillId="5" borderId="1" xfId="0" applyNumberFormat="1" applyFont="1" applyFill="1" applyBorder="1" applyAlignment="1">
      <alignment horizontal="left" vertical="center" wrapText="1"/>
    </xf>
    <xf numFmtId="181" fontId="20" fillId="5" borderId="1" xfId="0" applyNumberFormat="1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2" fillId="8" borderId="1" xfId="0" applyFont="1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8" fillId="8" borderId="1" xfId="0" applyFont="1" applyFill="1" applyBorder="1">
      <alignment vertical="center"/>
    </xf>
    <xf numFmtId="0" fontId="19" fillId="9" borderId="1" xfId="0" applyFont="1" applyFill="1" applyBorder="1">
      <alignment vertical="center"/>
    </xf>
    <xf numFmtId="0" fontId="2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180" fontId="2" fillId="10" borderId="1" xfId="0" applyNumberFormat="1" applyFont="1" applyFill="1" applyBorder="1" applyAlignment="1">
      <alignment horizontal="center" vertical="center"/>
    </xf>
    <xf numFmtId="11" fontId="2" fillId="10" borderId="1" xfId="0" applyNumberFormat="1" applyFont="1" applyFill="1" applyBorder="1" applyAlignment="1">
      <alignment horizontal="center" vertical="center"/>
    </xf>
    <xf numFmtId="0" fontId="2" fillId="10" borderId="1" xfId="0" quotePrefix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right" vertical="center" wrapText="1"/>
    </xf>
    <xf numFmtId="0" fontId="20" fillId="7" borderId="1" xfId="0" applyFont="1" applyFill="1" applyBorder="1" applyAlignment="1">
      <alignment horizontal="right" vertical="center" wrapText="1"/>
    </xf>
    <xf numFmtId="11" fontId="21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11" fontId="21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1" fontId="21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/>
    </xf>
    <xf numFmtId="0" fontId="32" fillId="0" borderId="1" xfId="0" applyFont="1" applyFill="1" applyBorder="1">
      <alignment vertical="center"/>
    </xf>
    <xf numFmtId="0" fontId="32" fillId="0" borderId="1" xfId="0" applyFont="1" applyBorder="1">
      <alignment vertical="center"/>
    </xf>
    <xf numFmtId="11" fontId="39" fillId="0" borderId="1" xfId="0" applyNumberFormat="1" applyFont="1" applyFill="1" applyBorder="1" applyAlignment="1">
      <alignment horizontal="center" vertical="center"/>
    </xf>
    <xf numFmtId="0" fontId="32" fillId="4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6" borderId="0" xfId="0" applyFont="1" applyFill="1">
      <alignment vertical="center"/>
    </xf>
    <xf numFmtId="0" fontId="17" fillId="7" borderId="1" xfId="0" applyFont="1" applyFill="1" applyBorder="1" applyAlignment="1">
      <alignment horizontal="right" vertical="center" wrapText="1"/>
    </xf>
    <xf numFmtId="0" fontId="0" fillId="4" borderId="1" xfId="0" applyFill="1" applyBorder="1">
      <alignment vertical="center"/>
    </xf>
    <xf numFmtId="0" fontId="19" fillId="7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8" fillId="4" borderId="1" xfId="0" applyFont="1" applyFill="1" applyBorder="1" applyAlignment="1">
      <alignment horizontal="justify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right" vertical="center" wrapText="1"/>
    </xf>
    <xf numFmtId="183" fontId="2" fillId="4" borderId="1" xfId="0" applyNumberFormat="1" applyFont="1" applyFill="1" applyBorder="1" applyAlignment="1">
      <alignment horizontal="center" vertical="center" wrapText="1"/>
    </xf>
    <xf numFmtId="183" fontId="2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justify" vertical="center" wrapText="1"/>
    </xf>
    <xf numFmtId="2" fontId="0" fillId="4" borderId="1" xfId="0" applyNumberFormat="1" applyFill="1" applyBorder="1" applyAlignment="1">
      <alignment horizontal="center" vertical="center"/>
    </xf>
    <xf numFmtId="11" fontId="42" fillId="4" borderId="1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0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0" fillId="0" borderId="0" xfId="0" applyFont="1">
      <alignment vertical="center"/>
    </xf>
    <xf numFmtId="0" fontId="2" fillId="10" borderId="1" xfId="0" applyFont="1" applyFill="1" applyBorder="1" applyAlignment="1">
      <alignment horizontal="right" vertical="center"/>
    </xf>
    <xf numFmtId="182" fontId="2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>
      <alignment vertical="center"/>
    </xf>
    <xf numFmtId="180" fontId="8" fillId="10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center" vertical="center" wrapText="1"/>
    </xf>
    <xf numFmtId="11" fontId="2" fillId="10" borderId="1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8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1" fontId="10" fillId="4" borderId="1" xfId="0" applyNumberFormat="1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7" fillId="6" borderId="1" xfId="0" applyFont="1" applyFill="1" applyBorder="1" applyAlignment="1">
      <alignment horizontal="left" vertical="center"/>
    </xf>
    <xf numFmtId="0" fontId="17" fillId="2" borderId="1" xfId="0" applyFont="1" applyFill="1" applyBorder="1">
      <alignment vertical="center"/>
    </xf>
    <xf numFmtId="0" fontId="17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184" fontId="2" fillId="4" borderId="1" xfId="0" applyNumberFormat="1" applyFont="1" applyFill="1" applyBorder="1" applyAlignment="1">
      <alignment horizontal="center" vertical="center"/>
    </xf>
    <xf numFmtId="185" fontId="2" fillId="4" borderId="1" xfId="0" applyNumberFormat="1" applyFont="1" applyFill="1" applyBorder="1" applyAlignment="1">
      <alignment horizontal="center" vertical="center"/>
    </xf>
    <xf numFmtId="186" fontId="2" fillId="4" borderId="1" xfId="0" applyNumberFormat="1" applyFont="1" applyFill="1" applyBorder="1" applyAlignment="1">
      <alignment horizontal="center" vertical="center"/>
    </xf>
    <xf numFmtId="177" fontId="2" fillId="11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0" fontId="0" fillId="8" borderId="0" xfId="0" applyFill="1" applyBorder="1">
      <alignment vertical="center"/>
    </xf>
    <xf numFmtId="0" fontId="0" fillId="8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16" fillId="2" borderId="12" xfId="0" applyFont="1" applyFill="1" applyBorder="1">
      <alignment vertical="center"/>
    </xf>
    <xf numFmtId="0" fontId="17" fillId="2" borderId="14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left" vertical="center"/>
    </xf>
    <xf numFmtId="0" fontId="0" fillId="1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12" borderId="10" xfId="0" applyFill="1" applyBorder="1">
      <alignment vertical="center"/>
    </xf>
    <xf numFmtId="0" fontId="0" fillId="2" borderId="11" xfId="0" applyFill="1" applyBorder="1">
      <alignment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2" borderId="13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right" vertical="center"/>
    </xf>
    <xf numFmtId="0" fontId="2" fillId="12" borderId="1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13" borderId="1" xfId="0" applyFont="1" applyFill="1" applyBorder="1" applyAlignment="1">
      <alignment horizontal="right" vertical="center"/>
    </xf>
    <xf numFmtId="0" fontId="5" fillId="13" borderId="1" xfId="0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right" vertical="center"/>
    </xf>
    <xf numFmtId="0" fontId="4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0" fontId="17" fillId="5" borderId="1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10" borderId="0" xfId="0" applyFont="1" applyFill="1" applyBorder="1">
      <alignment vertical="center"/>
    </xf>
    <xf numFmtId="177" fontId="2" fillId="4" borderId="0" xfId="0" applyNumberFormat="1" applyFont="1" applyFill="1" applyBorder="1">
      <alignment vertical="center"/>
    </xf>
    <xf numFmtId="0" fontId="45" fillId="4" borderId="1" xfId="0" applyFont="1" applyFill="1" applyBorder="1" applyAlignment="1" applyProtection="1">
      <alignment vertical="center"/>
    </xf>
    <xf numFmtId="0" fontId="17" fillId="6" borderId="0" xfId="0" applyFont="1" applyFill="1" applyBorder="1">
      <alignment vertical="center"/>
    </xf>
    <xf numFmtId="0" fontId="17" fillId="7" borderId="1" xfId="0" applyFont="1" applyFill="1" applyBorder="1" applyAlignment="1">
      <alignment horizontal="right" vertical="center"/>
    </xf>
    <xf numFmtId="0" fontId="17" fillId="7" borderId="0" xfId="0" applyFont="1" applyFill="1" applyBorder="1" applyAlignment="1">
      <alignment horizontal="right" vertical="center"/>
    </xf>
    <xf numFmtId="0" fontId="17" fillId="10" borderId="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left" vertical="center"/>
    </xf>
    <xf numFmtId="0" fontId="2" fillId="6" borderId="0" xfId="0" applyFont="1" applyFill="1" applyBorder="1">
      <alignment vertical="center"/>
    </xf>
    <xf numFmtId="0" fontId="17" fillId="6" borderId="2" xfId="0" applyFont="1" applyFill="1" applyBorder="1">
      <alignment vertical="center"/>
    </xf>
    <xf numFmtId="0" fontId="32" fillId="0" borderId="1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32" fillId="0" borderId="1" xfId="0" applyFont="1" applyBorder="1" applyAlignment="1">
      <alignment horizontal="right" vertical="center"/>
    </xf>
    <xf numFmtId="0" fontId="48" fillId="0" borderId="1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5" fillId="2" borderId="8" xfId="0" applyFont="1" applyFill="1" applyBorder="1" applyAlignment="1" applyProtection="1">
      <alignment vertical="center"/>
    </xf>
    <xf numFmtId="0" fontId="8" fillId="2" borderId="11" xfId="0" applyFont="1" applyFill="1" applyBorder="1" applyAlignment="1">
      <alignment horizontal="left" vertical="center"/>
    </xf>
    <xf numFmtId="0" fontId="2" fillId="12" borderId="1" xfId="0" applyFont="1" applyFill="1" applyBorder="1">
      <alignment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1" fontId="2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1" fontId="21" fillId="0" borderId="2" xfId="0" applyNumberFormat="1" applyFont="1" applyFill="1" applyBorder="1" applyAlignment="1">
      <alignment horizontal="center" vertical="center"/>
    </xf>
    <xf numFmtId="0" fontId="16" fillId="6" borderId="15" xfId="0" applyFont="1" applyFill="1" applyBorder="1">
      <alignment vertical="center"/>
    </xf>
    <xf numFmtId="0" fontId="2" fillId="6" borderId="5" xfId="0" applyFont="1" applyFill="1" applyBorder="1">
      <alignment vertical="center"/>
    </xf>
    <xf numFmtId="11" fontId="21" fillId="6" borderId="16" xfId="0" applyNumberFormat="1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left" vertical="center"/>
    </xf>
    <xf numFmtId="0" fontId="47" fillId="0" borderId="7" xfId="0" applyFont="1" applyFill="1" applyBorder="1" applyAlignment="1">
      <alignment horizontal="center" vertical="center"/>
    </xf>
    <xf numFmtId="0" fontId="32" fillId="0" borderId="8" xfId="0" applyFont="1" applyFill="1" applyBorder="1">
      <alignment vertical="center"/>
    </xf>
    <xf numFmtId="0" fontId="32" fillId="0" borderId="8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49" fillId="0" borderId="9" xfId="0" applyFont="1" applyBorder="1">
      <alignment vertical="center"/>
    </xf>
    <xf numFmtId="0" fontId="20" fillId="0" borderId="10" xfId="0" applyFont="1" applyBorder="1">
      <alignment vertical="center"/>
    </xf>
    <xf numFmtId="11" fontId="39" fillId="0" borderId="10" xfId="0" applyNumberFormat="1" applyFont="1" applyFill="1" applyBorder="1" applyAlignment="1">
      <alignment horizontal="center" vertical="center"/>
    </xf>
    <xf numFmtId="0" fontId="32" fillId="0" borderId="11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6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 wrapText="1"/>
    </xf>
    <xf numFmtId="11" fontId="2" fillId="6" borderId="5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0" borderId="7" xfId="0" applyFont="1" applyFill="1" applyBorder="1">
      <alignment vertical="center"/>
    </xf>
    <xf numFmtId="0" fontId="8" fillId="0" borderId="8" xfId="0" applyFont="1" applyFill="1" applyBorder="1" applyAlignment="1">
      <alignment horizontal="left" vertical="center"/>
    </xf>
    <xf numFmtId="0" fontId="3" fillId="0" borderId="7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21" fillId="0" borderId="8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8" fillId="0" borderId="8" xfId="0" applyFont="1" applyFill="1" applyBorder="1">
      <alignment vertical="center"/>
    </xf>
    <xf numFmtId="0" fontId="5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 wrapText="1"/>
    </xf>
    <xf numFmtId="11" fontId="21" fillId="0" borderId="10" xfId="0" applyNumberFormat="1" applyFont="1" applyFill="1" applyBorder="1" applyAlignment="1">
      <alignment horizontal="center" vertical="center"/>
    </xf>
    <xf numFmtId="0" fontId="8" fillId="0" borderId="11" xfId="0" applyFont="1" applyFill="1" applyBorder="1">
      <alignment vertical="center"/>
    </xf>
    <xf numFmtId="0" fontId="30" fillId="5" borderId="1" xfId="0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2" fillId="2" borderId="8" xfId="0" applyFont="1" applyFill="1" applyBorder="1">
      <alignment vertical="center"/>
    </xf>
    <xf numFmtId="2" fontId="1" fillId="9" borderId="1" xfId="0" applyNumberFormat="1" applyFont="1" applyFill="1" applyBorder="1">
      <alignment vertical="center"/>
    </xf>
    <xf numFmtId="0" fontId="28" fillId="4" borderId="1" xfId="0" applyFont="1" applyFill="1" applyBorder="1" applyAlignment="1">
      <alignment horizontal="right" vertical="center"/>
    </xf>
    <xf numFmtId="0" fontId="34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0" xfId="0" applyFont="1" applyFill="1" applyBorder="1">
      <alignment vertical="center"/>
    </xf>
    <xf numFmtId="0" fontId="32" fillId="10" borderId="1" xfId="0" applyFont="1" applyFill="1" applyBorder="1">
      <alignment vertical="center"/>
    </xf>
    <xf numFmtId="0" fontId="0" fillId="10" borderId="0" xfId="0" applyFill="1">
      <alignment vertical="center"/>
    </xf>
    <xf numFmtId="0" fontId="0" fillId="12" borderId="7" xfId="0" applyFill="1" applyBorder="1">
      <alignment vertical="center"/>
    </xf>
    <xf numFmtId="0" fontId="0" fillId="12" borderId="9" xfId="0" applyFill="1" applyBorder="1">
      <alignment vertical="center"/>
    </xf>
    <xf numFmtId="0" fontId="0" fillId="12" borderId="20" xfId="0" applyFill="1" applyBorder="1">
      <alignment vertical="center"/>
    </xf>
    <xf numFmtId="0" fontId="44" fillId="6" borderId="22" xfId="0" applyFont="1" applyFill="1" applyBorder="1">
      <alignment vertical="center"/>
    </xf>
    <xf numFmtId="0" fontId="0" fillId="6" borderId="23" xfId="0" applyFill="1" applyBorder="1">
      <alignment vertical="center"/>
    </xf>
    <xf numFmtId="0" fontId="0" fillId="12" borderId="24" xfId="0" applyFill="1" applyBorder="1">
      <alignment vertical="center"/>
    </xf>
    <xf numFmtId="0" fontId="5" fillId="8" borderId="4" xfId="0" applyFont="1" applyFill="1" applyBorder="1" applyAlignment="1">
      <alignment horizontal="right" vertical="center"/>
    </xf>
    <xf numFmtId="0" fontId="2" fillId="8" borderId="5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left" vertical="center"/>
    </xf>
    <xf numFmtId="0" fontId="28" fillId="8" borderId="7" xfId="0" applyFont="1" applyFill="1" applyBorder="1" applyAlignment="1">
      <alignment horizontal="right" vertical="center"/>
    </xf>
    <xf numFmtId="0" fontId="0" fillId="8" borderId="8" xfId="0" applyFill="1" applyBorder="1">
      <alignment vertical="center"/>
    </xf>
    <xf numFmtId="0" fontId="8" fillId="8" borderId="8" xfId="0" applyFont="1" applyFill="1" applyBorder="1">
      <alignment vertical="center"/>
    </xf>
    <xf numFmtId="0" fontId="30" fillId="9" borderId="7" xfId="0" applyFont="1" applyFill="1" applyBorder="1">
      <alignment vertical="center"/>
    </xf>
    <xf numFmtId="0" fontId="19" fillId="9" borderId="8" xfId="0" applyFont="1" applyFill="1" applyBorder="1">
      <alignment vertical="center"/>
    </xf>
    <xf numFmtId="0" fontId="30" fillId="9" borderId="9" xfId="0" applyFont="1" applyFill="1" applyBorder="1">
      <alignment vertical="center"/>
    </xf>
    <xf numFmtId="0" fontId="19" fillId="9" borderId="10" xfId="0" applyFont="1" applyFill="1" applyBorder="1">
      <alignment vertical="center"/>
    </xf>
    <xf numFmtId="2" fontId="1" fillId="9" borderId="10" xfId="0" applyNumberFormat="1" applyFont="1" applyFill="1" applyBorder="1">
      <alignment vertical="center"/>
    </xf>
    <xf numFmtId="0" fontId="19" fillId="9" borderId="11" xfId="0" applyFont="1" applyFill="1" applyBorder="1">
      <alignment vertical="center"/>
    </xf>
    <xf numFmtId="0" fontId="0" fillId="8" borderId="7" xfId="0" applyFill="1" applyBorder="1" applyAlignment="1">
      <alignment horizontal="right" vertical="center"/>
    </xf>
    <xf numFmtId="0" fontId="28" fillId="8" borderId="8" xfId="0" applyFont="1" applyFill="1" applyBorder="1">
      <alignment vertical="center"/>
    </xf>
    <xf numFmtId="0" fontId="29" fillId="8" borderId="7" xfId="0" applyFont="1" applyFill="1" applyBorder="1" applyAlignment="1">
      <alignment horizontal="right" vertical="center"/>
    </xf>
    <xf numFmtId="0" fontId="28" fillId="8" borderId="24" xfId="0" applyFont="1" applyFill="1" applyBorder="1" applyAlignment="1">
      <alignment horizontal="right" vertical="center"/>
    </xf>
    <xf numFmtId="0" fontId="8" fillId="8" borderId="2" xfId="0" applyFont="1" applyFill="1" applyBorder="1">
      <alignment vertical="center"/>
    </xf>
    <xf numFmtId="0" fontId="8" fillId="8" borderId="25" xfId="0" applyFont="1" applyFill="1" applyBorder="1">
      <alignment vertical="center"/>
    </xf>
    <xf numFmtId="11" fontId="1" fillId="9" borderId="10" xfId="0" applyNumberFormat="1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1" fontId="1" fillId="9" borderId="10" xfId="0" applyNumberFormat="1" applyFont="1" applyFill="1" applyBorder="1" applyAlignment="1">
      <alignment horizontal="center" vertical="center"/>
    </xf>
    <xf numFmtId="0" fontId="0" fillId="12" borderId="2" xfId="0" applyFill="1" applyBorder="1">
      <alignment vertical="center"/>
    </xf>
    <xf numFmtId="0" fontId="2" fillId="14" borderId="1" xfId="0" applyFont="1" applyFill="1" applyBorder="1">
      <alignment vertical="center"/>
    </xf>
    <xf numFmtId="0" fontId="2" fillId="14" borderId="1" xfId="0" applyFont="1" applyFill="1" applyBorder="1" applyAlignment="1">
      <alignment horizontal="left" vertical="center"/>
    </xf>
    <xf numFmtId="11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0" xfId="0" applyFont="1" applyFill="1" applyBorder="1">
      <alignment vertical="center"/>
    </xf>
    <xf numFmtId="0" fontId="2" fillId="14" borderId="1" xfId="0" applyFont="1" applyFill="1" applyBorder="1" applyAlignment="1">
      <alignment horizontal="right" vertical="center"/>
    </xf>
    <xf numFmtId="0" fontId="3" fillId="14" borderId="1" xfId="0" applyFont="1" applyFill="1" applyBorder="1">
      <alignment vertical="center"/>
    </xf>
    <xf numFmtId="0" fontId="2" fillId="14" borderId="1" xfId="0" applyFont="1" applyFill="1" applyBorder="1" applyAlignment="1">
      <alignment horizontal="left" vertical="center" wrapText="1"/>
    </xf>
    <xf numFmtId="177" fontId="2" fillId="4" borderId="1" xfId="0" applyNumberFormat="1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>
      <alignment vertical="center"/>
    </xf>
    <xf numFmtId="0" fontId="17" fillId="14" borderId="1" xfId="0" applyFont="1" applyFill="1" applyBorder="1" applyAlignment="1">
      <alignment horizontal="left" vertical="center"/>
    </xf>
    <xf numFmtId="0" fontId="10" fillId="14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/>
    </xf>
    <xf numFmtId="0" fontId="5" fillId="0" borderId="2" xfId="0" applyFont="1" applyFill="1" applyBorder="1">
      <alignment vertical="center"/>
    </xf>
    <xf numFmtId="11" fontId="2" fillId="13" borderId="1" xfId="0" applyNumberFormat="1" applyFont="1" applyFill="1" applyBorder="1" applyAlignment="1">
      <alignment horizontal="right" vertical="center"/>
    </xf>
    <xf numFmtId="11" fontId="0" fillId="0" borderId="8" xfId="0" applyNumberFormat="1" applyBorder="1">
      <alignment vertical="center"/>
    </xf>
    <xf numFmtId="0" fontId="0" fillId="0" borderId="21" xfId="0" applyNumberForma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2" fillId="10" borderId="1" xfId="0" applyFont="1" applyFill="1" applyBorder="1" applyAlignment="1">
      <alignment horizontal="left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5" fillId="10" borderId="0" xfId="0" applyFont="1" applyFill="1" applyBorder="1">
      <alignment vertical="center"/>
    </xf>
    <xf numFmtId="0" fontId="2" fillId="2" borderId="1" xfId="0" applyFont="1" applyFill="1" applyBorder="1" applyAlignment="1">
      <alignment horizontal="right" vertical="center"/>
    </xf>
    <xf numFmtId="11" fontId="2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3" fillId="4" borderId="1" xfId="0" applyFont="1" applyFill="1" applyBorder="1" applyAlignment="1">
      <alignment horizontal="left"/>
    </xf>
    <xf numFmtId="0" fontId="5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left" vertical="center"/>
    </xf>
    <xf numFmtId="11" fontId="2" fillId="15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0" xfId="0" applyFont="1" applyFill="1" applyBorder="1">
      <alignment vertical="center"/>
    </xf>
    <xf numFmtId="0" fontId="2" fillId="15" borderId="1" xfId="0" applyFont="1" applyFill="1" applyBorder="1" applyAlignment="1">
      <alignment horizontal="left" vertical="center" wrapText="1"/>
    </xf>
    <xf numFmtId="2" fontId="2" fillId="15" borderId="1" xfId="0" applyNumberFormat="1" applyFont="1" applyFill="1" applyBorder="1" applyAlignment="1">
      <alignment horizontal="center" vertical="center"/>
    </xf>
    <xf numFmtId="0" fontId="8" fillId="15" borderId="1" xfId="0" applyFont="1" applyFill="1" applyBorder="1">
      <alignment vertical="center"/>
    </xf>
    <xf numFmtId="0" fontId="5" fillId="15" borderId="0" xfId="0" applyFont="1" applyFill="1" applyBorder="1">
      <alignment vertical="center"/>
    </xf>
    <xf numFmtId="0" fontId="5" fillId="0" borderId="0" xfId="0" applyFont="1" applyBorder="1" applyAlignment="1">
      <alignment horizontal="left" vertical="center"/>
    </xf>
    <xf numFmtId="0" fontId="2" fillId="16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9D8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304801</xdr:colOff>
      <xdr:row>1</xdr:row>
      <xdr:rowOff>132522</xdr:rowOff>
    </xdr:from>
    <xdr:to>
      <xdr:col>15</xdr:col>
      <xdr:colOff>418553</xdr:colOff>
      <xdr:row>23</xdr:row>
      <xdr:rowOff>161372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2158" y="324679"/>
          <a:ext cx="4380952" cy="44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-STP&#65288;O&#65289;&#33258;&#24314;-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计算"/>
      <sheetName val="output"/>
      <sheetName val="C-STP（O）自建-"/>
    </sheetNames>
    <definedNames>
      <definedName name="Fstp.air" refersTo="='output'!$E$24"/>
      <definedName name="Fstp.sludge" refersTo="='output'!$E$26"/>
      <definedName name="Fstp.water" refersTo="='output'!$E$25"/>
      <definedName name="Surplus_sludge" refersTo="='input'!$F$98"/>
    </definedNames>
    <sheetDataSet>
      <sheetData sheetId="0">
        <row r="98">
          <cell r="F98">
            <v>232.20658823783958</v>
          </cell>
        </row>
      </sheetData>
      <sheetData sheetId="1"/>
      <sheetData sheetId="2">
        <row r="24">
          <cell r="E24">
            <v>0.21124153585431638</v>
          </cell>
        </row>
        <row r="25">
          <cell r="E25">
            <v>6.1115958522681361E-2</v>
          </cell>
        </row>
        <row r="26">
          <cell r="E26">
            <v>5.1428975353785145E-3</v>
          </cell>
        </row>
        <row r="48">
          <cell r="C48">
            <v>498.87325490450621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L25"/>
  <sheetViews>
    <sheetView tabSelected="1" topLeftCell="B1" zoomScale="85" zoomScaleNormal="85" workbookViewId="0">
      <selection activeCell="E16" sqref="E16"/>
    </sheetView>
  </sheetViews>
  <sheetFormatPr defaultRowHeight="14.4"/>
  <cols>
    <col min="1" max="1" width="2.77734375" customWidth="1"/>
    <col min="2" max="2" width="33.44140625" customWidth="1"/>
    <col min="3" max="3" width="35.5546875" style="171" customWidth="1"/>
    <col min="4" max="4" width="9.5546875" customWidth="1"/>
    <col min="5" max="5" width="32.88671875" customWidth="1"/>
    <col min="6" max="6" width="7.88671875" customWidth="1"/>
    <col min="7" max="7" width="7.77734375" customWidth="1"/>
    <col min="8" max="8" width="32.21875" customWidth="1"/>
  </cols>
  <sheetData>
    <row r="1" spans="2:12" ht="15" thickBot="1"/>
    <row r="2" spans="2:12" s="77" customFormat="1">
      <c r="B2" s="162" t="s">
        <v>318</v>
      </c>
      <c r="C2" s="172" t="s">
        <v>130</v>
      </c>
      <c r="D2" s="163"/>
    </row>
    <row r="3" spans="2:12" ht="17.399999999999999" thickBot="1">
      <c r="B3" s="157" t="s">
        <v>310</v>
      </c>
      <c r="C3" s="179">
        <v>92</v>
      </c>
      <c r="D3" s="158" t="s">
        <v>227</v>
      </c>
      <c r="F3" s="182" t="s">
        <v>321</v>
      </c>
    </row>
    <row r="4" spans="2:12">
      <c r="B4" s="157" t="s">
        <v>311</v>
      </c>
      <c r="C4" s="313">
        <v>3089</v>
      </c>
      <c r="D4" s="158" t="s">
        <v>23</v>
      </c>
      <c r="E4" s="252" t="s">
        <v>309</v>
      </c>
      <c r="F4" s="166">
        <v>21.1</v>
      </c>
      <c r="G4" s="167" t="s">
        <v>234</v>
      </c>
    </row>
    <row r="5" spans="2:12" ht="17.399999999999999" thickBot="1">
      <c r="B5" s="157" t="s">
        <v>312</v>
      </c>
      <c r="C5" s="179">
        <v>587</v>
      </c>
      <c r="D5" s="159" t="s">
        <v>83</v>
      </c>
      <c r="E5" s="253" t="s">
        <v>308</v>
      </c>
      <c r="F5" s="168">
        <v>25</v>
      </c>
      <c r="G5" s="169" t="s">
        <v>234</v>
      </c>
    </row>
    <row r="6" spans="2:12" ht="16.8">
      <c r="B6" s="157" t="s">
        <v>313</v>
      </c>
      <c r="C6" s="179">
        <v>205</v>
      </c>
      <c r="D6" s="159" t="s">
        <v>44</v>
      </c>
    </row>
    <row r="7" spans="2:12">
      <c r="B7" s="157" t="s">
        <v>316</v>
      </c>
      <c r="C7" s="179">
        <f>10^2.73</f>
        <v>537.03179637025301</v>
      </c>
      <c r="D7" s="159" t="s">
        <v>286</v>
      </c>
      <c r="E7" s="326">
        <f>LOG10(C7)</f>
        <v>2.7300000000000004</v>
      </c>
    </row>
    <row r="8" spans="2:12">
      <c r="B8" s="157" t="s">
        <v>523</v>
      </c>
      <c r="C8" s="180" t="s">
        <v>531</v>
      </c>
      <c r="D8" s="159" t="s">
        <v>135</v>
      </c>
    </row>
    <row r="9" spans="2:12" ht="16.8">
      <c r="B9" s="157" t="s">
        <v>505</v>
      </c>
      <c r="C9" s="179">
        <v>42</v>
      </c>
      <c r="D9" s="254" t="s">
        <v>233</v>
      </c>
    </row>
    <row r="10" spans="2:12" ht="16.8">
      <c r="B10" s="157" t="s">
        <v>530</v>
      </c>
      <c r="C10" s="173">
        <v>0</v>
      </c>
      <c r="D10" s="254" t="s">
        <v>533</v>
      </c>
    </row>
    <row r="11" spans="2:12" ht="13.5" customHeight="1">
      <c r="B11" s="157" t="s">
        <v>314</v>
      </c>
      <c r="C11" s="173" t="s">
        <v>542</v>
      </c>
      <c r="D11" s="159" t="s">
        <v>320</v>
      </c>
    </row>
    <row r="12" spans="2:12" ht="15" thickBot="1">
      <c r="B12" s="160" t="s">
        <v>516</v>
      </c>
      <c r="C12" s="174">
        <v>-25.2</v>
      </c>
      <c r="D12" s="318" t="s">
        <v>234</v>
      </c>
      <c r="F12" s="179"/>
      <c r="G12" s="4" t="s">
        <v>564</v>
      </c>
      <c r="H12" s="4"/>
      <c r="I12" s="4"/>
      <c r="J12" s="4"/>
      <c r="K12" s="4"/>
      <c r="L12" s="4"/>
    </row>
    <row r="13" spans="2:12" s="77" customFormat="1" ht="15" thickBot="1">
      <c r="B13" s="156"/>
      <c r="C13" s="175"/>
      <c r="D13" s="154"/>
      <c r="F13" s="173"/>
      <c r="G13" s="77" t="s">
        <v>565</v>
      </c>
    </row>
    <row r="14" spans="2:12">
      <c r="B14" s="164" t="s">
        <v>319</v>
      </c>
      <c r="C14" s="176"/>
      <c r="D14" s="165"/>
      <c r="F14" s="4"/>
      <c r="G14" s="77"/>
      <c r="H14" s="77"/>
      <c r="I14" s="77"/>
      <c r="J14" s="77"/>
      <c r="K14" s="4"/>
      <c r="L14" s="4"/>
    </row>
    <row r="15" spans="2:12">
      <c r="B15" s="260" t="s">
        <v>472</v>
      </c>
      <c r="C15" s="179" t="s">
        <v>471</v>
      </c>
      <c r="D15" s="159" t="s">
        <v>470</v>
      </c>
      <c r="F15" s="4"/>
      <c r="G15" s="77"/>
      <c r="H15" s="77"/>
      <c r="I15" s="77"/>
      <c r="J15" s="77"/>
      <c r="K15" s="4"/>
      <c r="L15" s="4"/>
    </row>
    <row r="16" spans="2:12" ht="16.8">
      <c r="B16" s="157" t="s">
        <v>323</v>
      </c>
      <c r="C16" s="179">
        <v>20</v>
      </c>
      <c r="D16" s="159" t="s">
        <v>324</v>
      </c>
      <c r="F16" s="4"/>
      <c r="G16" s="77"/>
      <c r="H16" s="77"/>
      <c r="I16" s="77"/>
      <c r="J16" s="77"/>
      <c r="K16" s="4"/>
      <c r="L16" s="4"/>
    </row>
    <row r="17" spans="2:12" ht="16.8">
      <c r="B17" s="157" t="s">
        <v>517</v>
      </c>
      <c r="C17" s="179">
        <v>9.99</v>
      </c>
      <c r="D17" s="159" t="s">
        <v>462</v>
      </c>
      <c r="F17" s="4"/>
      <c r="G17" s="77"/>
      <c r="H17" s="170"/>
      <c r="I17" s="154"/>
      <c r="J17" s="77"/>
      <c r="K17" s="4"/>
      <c r="L17" s="4"/>
    </row>
    <row r="18" spans="2:12" ht="16.8">
      <c r="B18" s="157" t="s">
        <v>317</v>
      </c>
      <c r="C18" s="179">
        <v>8.33</v>
      </c>
      <c r="D18" s="159" t="s">
        <v>295</v>
      </c>
      <c r="F18" s="4"/>
      <c r="G18" s="77"/>
      <c r="H18" s="77"/>
      <c r="I18" s="77"/>
      <c r="J18" s="77"/>
      <c r="K18" s="4"/>
      <c r="L18" s="4"/>
    </row>
    <row r="19" spans="2:12" ht="17.399999999999999" thickBot="1">
      <c r="B19" s="160" t="s">
        <v>467</v>
      </c>
      <c r="C19" s="181">
        <v>0</v>
      </c>
      <c r="D19" s="161" t="s">
        <v>463</v>
      </c>
      <c r="F19" s="4"/>
      <c r="G19" s="77"/>
      <c r="H19" s="77"/>
      <c r="I19" s="77"/>
      <c r="J19" s="77"/>
      <c r="K19" s="4"/>
      <c r="L19" s="4"/>
    </row>
    <row r="20" spans="2:12" ht="15" thickBot="1">
      <c r="B20" s="155"/>
      <c r="C20" s="177"/>
      <c r="D20" s="155"/>
      <c r="F20" s="4"/>
      <c r="G20" s="4"/>
      <c r="H20" s="4"/>
      <c r="I20" s="4"/>
      <c r="J20" s="4"/>
      <c r="K20" s="4"/>
      <c r="L20" s="4"/>
    </row>
    <row r="21" spans="2:12">
      <c r="B21" s="164" t="s">
        <v>325</v>
      </c>
      <c r="C21" s="176"/>
      <c r="D21" s="165"/>
      <c r="F21" s="4"/>
      <c r="G21" s="4"/>
      <c r="H21" s="4"/>
      <c r="I21" s="4"/>
      <c r="J21" s="4"/>
      <c r="K21" s="4"/>
      <c r="L21" s="4"/>
    </row>
    <row r="22" spans="2:12" ht="15.6">
      <c r="B22" s="157" t="s">
        <v>445</v>
      </c>
      <c r="C22" s="206"/>
      <c r="D22" s="204" t="s">
        <v>395</v>
      </c>
      <c r="F22" s="4"/>
      <c r="G22" s="4"/>
      <c r="H22" s="4"/>
      <c r="I22" s="4"/>
      <c r="J22" s="4"/>
      <c r="K22" s="4"/>
      <c r="L22" s="4"/>
    </row>
    <row r="23" spans="2:12" ht="16.8">
      <c r="B23" s="157" t="s">
        <v>446</v>
      </c>
      <c r="C23" s="207"/>
      <c r="D23" s="159" t="s">
        <v>83</v>
      </c>
      <c r="F23" s="4"/>
      <c r="G23" s="4"/>
      <c r="H23" s="4"/>
      <c r="I23" s="4"/>
      <c r="J23" s="4"/>
      <c r="K23" s="4"/>
      <c r="L23" s="4"/>
    </row>
    <row r="24" spans="2:12" ht="17.399999999999999" thickBot="1">
      <c r="B24" s="157" t="s">
        <v>447</v>
      </c>
      <c r="C24" s="208"/>
      <c r="D24" s="205" t="s">
        <v>428</v>
      </c>
      <c r="F24" s="4"/>
      <c r="G24" s="4"/>
      <c r="H24" s="4"/>
      <c r="I24" s="4"/>
      <c r="J24" s="4"/>
      <c r="K24" s="4"/>
      <c r="L24" s="4"/>
    </row>
    <row r="25" spans="2:12">
      <c r="B25" s="203"/>
      <c r="C25" s="198"/>
    </row>
  </sheetData>
  <phoneticPr fontId="4" type="noConversion"/>
  <dataValidations count="3">
    <dataValidation type="list" allowBlank="1" showInputMessage="1" showErrorMessage="1" sqref="C11">
      <formula1>"yes,no"</formula1>
    </dataValidation>
    <dataValidation type="list" allowBlank="1" showInputMessage="1" showErrorMessage="1" sqref="C8">
      <formula1>"快速生物降解, 快速生物降解试验28d通过但未通过10d观察期, 28d快速生物降解率≥20%或固有降解率≥70%, 固有生物降解率为20%~70%, 不可生物降解"</formula1>
    </dataValidation>
    <dataValidation type="list" allowBlank="1" showInputMessage="1" showErrorMessage="1" sqref="C15">
      <formula1>"工业源,广泛分散使用源"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H24"/>
  <sheetViews>
    <sheetView zoomScale="115" zoomScaleNormal="115" workbookViewId="0">
      <selection activeCell="B23" sqref="B23"/>
    </sheetView>
  </sheetViews>
  <sheetFormatPr defaultRowHeight="14.4"/>
  <cols>
    <col min="1" max="1" width="4.44140625" customWidth="1"/>
    <col min="2" max="2" width="35" customWidth="1"/>
    <col min="3" max="3" width="17.77734375" customWidth="1"/>
    <col min="4" max="4" width="9.21875" bestFit="1" customWidth="1"/>
    <col min="5" max="5" width="12.33203125" customWidth="1"/>
    <col min="7" max="7" width="11.6640625" customWidth="1"/>
    <col min="8" max="8" width="10.109375" customWidth="1"/>
  </cols>
  <sheetData>
    <row r="1" spans="2:8" ht="15" thickBot="1">
      <c r="B1" s="228" t="s">
        <v>327</v>
      </c>
      <c r="C1" s="229" t="s">
        <v>240</v>
      </c>
      <c r="D1" s="230" t="s">
        <v>454</v>
      </c>
      <c r="E1" s="231" t="s">
        <v>455</v>
      </c>
      <c r="G1" s="265" t="s">
        <v>487</v>
      </c>
      <c r="H1" s="265"/>
    </row>
    <row r="2" spans="2:8" ht="15" thickBot="1">
      <c r="B2" s="232" t="s">
        <v>550</v>
      </c>
      <c r="C2" s="233"/>
      <c r="D2" s="234"/>
      <c r="E2" s="235"/>
      <c r="G2" s="269" t="s">
        <v>483</v>
      </c>
      <c r="H2" s="270" t="s">
        <v>485</v>
      </c>
    </row>
    <row r="3" spans="2:8" ht="16.8">
      <c r="B3" s="236" t="s">
        <v>449</v>
      </c>
      <c r="C3" s="209" t="s">
        <v>3</v>
      </c>
      <c r="D3" s="210">
        <f>PECstp</f>
        <v>0.30527421282079337</v>
      </c>
      <c r="E3" s="237" t="s">
        <v>65</v>
      </c>
      <c r="G3" s="268">
        <v>6.4</v>
      </c>
      <c r="H3" s="314">
        <f>D3/G3</f>
        <v>4.769909575324896E-2</v>
      </c>
    </row>
    <row r="4" spans="2:8" ht="16.8">
      <c r="B4" s="238" t="s">
        <v>122</v>
      </c>
      <c r="C4" s="209" t="s">
        <v>256</v>
      </c>
      <c r="D4" s="210">
        <f>PEClocal.water</f>
        <v>3.0518036985706241E-2</v>
      </c>
      <c r="E4" s="237" t="s">
        <v>460</v>
      </c>
      <c r="G4" s="266">
        <v>0.1</v>
      </c>
      <c r="H4" s="314">
        <f t="shared" ref="H4:H9" si="0">D4/G4</f>
        <v>0.30518036985706237</v>
      </c>
    </row>
    <row r="5" spans="2:8" ht="16.8">
      <c r="B5" s="239" t="s">
        <v>101</v>
      </c>
      <c r="C5" s="211" t="s">
        <v>80</v>
      </c>
      <c r="D5" s="210">
        <f>PEClocal.sed</f>
        <v>0.41570873859225077</v>
      </c>
      <c r="E5" s="240" t="s">
        <v>518</v>
      </c>
      <c r="G5" s="266">
        <v>0.33400000000000002</v>
      </c>
      <c r="H5" s="314">
        <f t="shared" si="0"/>
        <v>1.2446369418929664</v>
      </c>
    </row>
    <row r="6" spans="2:8" ht="16.8">
      <c r="B6" s="239" t="s">
        <v>128</v>
      </c>
      <c r="C6" s="212" t="s">
        <v>198</v>
      </c>
      <c r="D6" s="93">
        <f>PEClocal.soil_30</f>
        <v>0.13115815296601924</v>
      </c>
      <c r="E6" s="241" t="s">
        <v>519</v>
      </c>
      <c r="G6" s="266">
        <v>0.188</v>
      </c>
      <c r="H6" s="314">
        <f t="shared" si="0"/>
        <v>0.69764974981925121</v>
      </c>
    </row>
    <row r="7" spans="2:8" ht="16.8">
      <c r="B7" s="239" t="s">
        <v>450</v>
      </c>
      <c r="C7" s="118" t="s">
        <v>261</v>
      </c>
      <c r="D7" s="93">
        <f>PEClocal.grw</f>
        <v>6.5435083196770192E-3</v>
      </c>
      <c r="E7" s="237" t="s">
        <v>65</v>
      </c>
      <c r="G7" s="266"/>
      <c r="H7" s="314" t="e">
        <f t="shared" si="0"/>
        <v>#DIV/0!</v>
      </c>
    </row>
    <row r="8" spans="2:8" ht="16.8">
      <c r="B8" s="242" t="s">
        <v>456</v>
      </c>
      <c r="C8" s="213" t="s">
        <v>187</v>
      </c>
      <c r="D8" s="214">
        <f>PECaqu_predator</f>
        <v>3.511664529862088E-2</v>
      </c>
      <c r="E8" s="243" t="s">
        <v>419</v>
      </c>
      <c r="G8" s="266"/>
      <c r="H8" s="314" t="e">
        <f t="shared" si="0"/>
        <v>#DIV/0!</v>
      </c>
    </row>
    <row r="9" spans="2:8" ht="17.399999999999999" thickBot="1">
      <c r="B9" s="244" t="s">
        <v>457</v>
      </c>
      <c r="C9" s="245" t="s">
        <v>200</v>
      </c>
      <c r="D9" s="246">
        <f>PECter_predator</f>
        <v>2.2654797018043155E-2</v>
      </c>
      <c r="E9" s="247" t="s">
        <v>419</v>
      </c>
      <c r="G9" s="271"/>
      <c r="H9" s="314" t="e">
        <f t="shared" si="0"/>
        <v>#DIV/0!</v>
      </c>
    </row>
    <row r="10" spans="2:8" ht="15" thickBot="1">
      <c r="B10" s="215" t="s">
        <v>551</v>
      </c>
      <c r="C10" s="216"/>
      <c r="D10" s="217"/>
      <c r="E10" s="218"/>
      <c r="G10" s="269" t="s">
        <v>484</v>
      </c>
      <c r="H10" s="270" t="s">
        <v>486</v>
      </c>
    </row>
    <row r="11" spans="2:8" ht="16.8">
      <c r="B11" s="219" t="s">
        <v>504</v>
      </c>
      <c r="C11" s="117" t="s">
        <v>257</v>
      </c>
      <c r="D11" s="93">
        <f>ADDinh</f>
        <v>3.2664717211447171E-5</v>
      </c>
      <c r="E11" s="220" t="s">
        <v>173</v>
      </c>
      <c r="G11" s="268"/>
      <c r="H11" s="315" t="e">
        <f>D11/G11</f>
        <v>#DIV/0!</v>
      </c>
    </row>
    <row r="12" spans="2:8" ht="16.8">
      <c r="B12" s="223" t="s">
        <v>452</v>
      </c>
      <c r="C12" s="119" t="s">
        <v>258</v>
      </c>
      <c r="D12" s="93">
        <f>ADDoral_water</f>
        <v>1.9976056751489253E-4</v>
      </c>
      <c r="E12" s="221" t="s">
        <v>173</v>
      </c>
      <c r="G12" s="266"/>
      <c r="H12" s="315" t="e">
        <f t="shared" ref="H12:H14" si="1">D12/G12</f>
        <v>#DIV/0!</v>
      </c>
    </row>
    <row r="13" spans="2:8" ht="16.8">
      <c r="B13" s="222" t="s">
        <v>451</v>
      </c>
      <c r="C13" s="118" t="s">
        <v>178</v>
      </c>
      <c r="D13" s="93">
        <f>ADDoral_fish</f>
        <v>3.4768955741208787E-5</v>
      </c>
      <c r="E13" s="221" t="s">
        <v>173</v>
      </c>
      <c r="G13" s="266"/>
      <c r="H13" s="315" t="e">
        <f t="shared" si="1"/>
        <v>#DIV/0!</v>
      </c>
    </row>
    <row r="14" spans="2:8" ht="17.399999999999999" thickBot="1">
      <c r="B14" s="224" t="s">
        <v>453</v>
      </c>
      <c r="C14" s="225" t="s">
        <v>182</v>
      </c>
      <c r="D14" s="226">
        <f>SUM(D11:D13)</f>
        <v>2.6719424046754849E-4</v>
      </c>
      <c r="E14" s="227" t="s">
        <v>173</v>
      </c>
      <c r="G14" s="267"/>
      <c r="H14" s="315" t="e">
        <f t="shared" si="1"/>
        <v>#DIV/0!</v>
      </c>
    </row>
    <row r="24" spans="3:3">
      <c r="C24">
        <v>7.0099999999999996E-2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131"/>
  <sheetViews>
    <sheetView zoomScale="115" zoomScaleNormal="115" workbookViewId="0">
      <pane xSplit="2" ySplit="1" topLeftCell="C114" activePane="bottomRight" state="frozen"/>
      <selection pane="topRight" activeCell="C1" sqref="C1"/>
      <selection pane="bottomLeft" activeCell="A2" sqref="A2"/>
      <selection pane="bottomRight" activeCell="A131" sqref="A131"/>
    </sheetView>
  </sheetViews>
  <sheetFormatPr defaultColWidth="8.88671875" defaultRowHeight="13.8"/>
  <cols>
    <col min="1" max="1" width="46.21875" style="1" customWidth="1"/>
    <col min="2" max="2" width="17.21875" style="201" customWidth="1"/>
    <col min="3" max="3" width="12.33203125" style="202" customWidth="1"/>
    <col min="4" max="4" width="10.6640625" style="201" customWidth="1"/>
    <col min="5" max="5" width="9.21875" style="202" customWidth="1"/>
    <col min="6" max="6" width="9.33203125" style="202" customWidth="1"/>
    <col min="7" max="7" width="11.109375" style="202" customWidth="1"/>
    <col min="8" max="8" width="10.6640625" style="201" customWidth="1"/>
    <col min="9" max="9" width="13.77734375" style="1" customWidth="1"/>
    <col min="10" max="16384" width="8.88671875" style="1"/>
  </cols>
  <sheetData>
    <row r="1" spans="1:9" s="184" customFormat="1" ht="14.4">
      <c r="A1" s="316" t="s">
        <v>521</v>
      </c>
      <c r="B1" s="317" t="s">
        <v>522</v>
      </c>
      <c r="C1" s="51" t="s">
        <v>39</v>
      </c>
      <c r="D1" s="317" t="s">
        <v>455</v>
      </c>
      <c r="E1" s="183" t="s">
        <v>329</v>
      </c>
      <c r="F1" s="183" t="s">
        <v>330</v>
      </c>
      <c r="G1" s="183" t="s">
        <v>331</v>
      </c>
      <c r="H1" s="18" t="s">
        <v>328</v>
      </c>
    </row>
    <row r="2" spans="1:9" s="186" customFormat="1" ht="14.4">
      <c r="A2" s="185" t="s">
        <v>332</v>
      </c>
      <c r="B2" s="13"/>
      <c r="C2" s="14"/>
      <c r="D2" s="13"/>
      <c r="E2" s="14"/>
      <c r="F2" s="14"/>
      <c r="G2" s="14"/>
      <c r="H2" s="13"/>
    </row>
    <row r="3" spans="1:9" s="46" customFormat="1" ht="14.4">
      <c r="A3" s="26" t="s">
        <v>333</v>
      </c>
      <c r="B3" s="42" t="s">
        <v>524</v>
      </c>
      <c r="C3" s="3" t="str">
        <f>IF(input!C11="",F3,input!C11)</f>
        <v>no</v>
      </c>
      <c r="D3" s="42"/>
      <c r="E3" s="46" t="str">
        <f>input!C11</f>
        <v>no</v>
      </c>
      <c r="F3" s="3" t="s">
        <v>94</v>
      </c>
      <c r="G3" s="3"/>
      <c r="H3" s="42"/>
    </row>
    <row r="4" spans="1:9" s="116" customFormat="1" ht="16.8">
      <c r="A4" s="34" t="s">
        <v>334</v>
      </c>
      <c r="B4" s="42" t="s">
        <v>72</v>
      </c>
      <c r="C4" s="3">
        <f>IF(E4="",F4,E4)</f>
        <v>3300</v>
      </c>
      <c r="D4" s="42" t="s">
        <v>335</v>
      </c>
      <c r="E4" s="2">
        <v>3300</v>
      </c>
      <c r="F4" s="3"/>
      <c r="G4" s="3"/>
      <c r="H4" s="42" t="s">
        <v>335</v>
      </c>
      <c r="I4" s="46"/>
    </row>
    <row r="5" spans="1:9" s="46" customFormat="1" ht="16.8">
      <c r="A5" s="34" t="s">
        <v>336</v>
      </c>
      <c r="B5" s="25" t="s">
        <v>229</v>
      </c>
      <c r="C5" s="3">
        <f>IF(E5="",F5,E5)</f>
        <v>92</v>
      </c>
      <c r="D5" s="25" t="s">
        <v>337</v>
      </c>
      <c r="E5" s="134">
        <f>input!C3</f>
        <v>92</v>
      </c>
      <c r="F5" s="3"/>
      <c r="G5" s="3"/>
      <c r="H5" s="25" t="s">
        <v>337</v>
      </c>
    </row>
    <row r="6" spans="1:9" s="46" customFormat="1" ht="14.4">
      <c r="A6" s="34" t="s">
        <v>338</v>
      </c>
      <c r="B6" s="25" t="s">
        <v>91</v>
      </c>
      <c r="C6" s="3">
        <f>IF(E6="",F6,E6)</f>
        <v>3089</v>
      </c>
      <c r="D6" s="25" t="s">
        <v>23</v>
      </c>
      <c r="E6" s="134">
        <f>input!C4</f>
        <v>3089</v>
      </c>
      <c r="F6" s="3"/>
      <c r="G6" s="3"/>
      <c r="H6" s="25" t="s">
        <v>23</v>
      </c>
    </row>
    <row r="7" spans="1:9" s="46" customFormat="1" ht="14.4">
      <c r="A7" s="34" t="s">
        <v>339</v>
      </c>
      <c r="B7" s="25" t="s">
        <v>92</v>
      </c>
      <c r="C7" s="3">
        <f>IF(E7="",F7+273,E7+273)</f>
        <v>294.10000000000002</v>
      </c>
      <c r="D7" s="25" t="s">
        <v>49</v>
      </c>
      <c r="E7" s="130">
        <f>input!F4</f>
        <v>21.1</v>
      </c>
      <c r="F7" s="3">
        <v>25</v>
      </c>
      <c r="G7" s="3"/>
      <c r="H7" s="25" t="s">
        <v>315</v>
      </c>
    </row>
    <row r="8" spans="1:9" s="46" customFormat="1" ht="14.4">
      <c r="A8" s="34" t="s">
        <v>340</v>
      </c>
      <c r="B8" s="25" t="s">
        <v>22</v>
      </c>
      <c r="C8" s="68">
        <f>IF(E8="",F8,E8)</f>
        <v>1385.1345785722312</v>
      </c>
      <c r="D8" s="25" t="s">
        <v>23</v>
      </c>
      <c r="E8" s="3"/>
      <c r="F8" s="3">
        <f>Vp.temptest*EXP((50000/8.314)*(1/TEMP.Vptest-1/TEMP))</f>
        <v>1385.1345785722312</v>
      </c>
      <c r="G8" s="3"/>
      <c r="H8" s="25" t="s">
        <v>23</v>
      </c>
    </row>
    <row r="9" spans="1:9" s="46" customFormat="1" ht="16.8">
      <c r="A9" s="34" t="s">
        <v>341</v>
      </c>
      <c r="B9" s="25" t="s">
        <v>230</v>
      </c>
      <c r="C9" s="68">
        <f>IF(E9="",F9,E9)</f>
        <v>587</v>
      </c>
      <c r="D9" s="42" t="s">
        <v>342</v>
      </c>
      <c r="E9" s="134">
        <f>input!C5</f>
        <v>587</v>
      </c>
      <c r="F9" s="3"/>
      <c r="G9" s="3"/>
      <c r="H9" s="42" t="s">
        <v>342</v>
      </c>
    </row>
    <row r="10" spans="1:9" s="46" customFormat="1" ht="14.4">
      <c r="A10" s="34" t="s">
        <v>343</v>
      </c>
      <c r="B10" s="25" t="s">
        <v>231</v>
      </c>
      <c r="C10" s="68">
        <f>IF(E10="",F10+273,E10+273)</f>
        <v>298</v>
      </c>
      <c r="D10" s="25" t="s">
        <v>49</v>
      </c>
      <c r="E10" s="131">
        <f>input!F5</f>
        <v>25</v>
      </c>
      <c r="F10" s="3">
        <v>25</v>
      </c>
      <c r="G10" s="3"/>
      <c r="H10" s="25" t="s">
        <v>315</v>
      </c>
    </row>
    <row r="11" spans="1:9" s="46" customFormat="1" ht="16.8">
      <c r="A11" s="34" t="s">
        <v>344</v>
      </c>
      <c r="B11" s="42" t="s">
        <v>43</v>
      </c>
      <c r="C11" s="68">
        <f>IF(E11="",F11,E11)</f>
        <v>473.94507832703567</v>
      </c>
      <c r="D11" s="42" t="s">
        <v>83</v>
      </c>
      <c r="E11" s="3"/>
      <c r="F11" s="3">
        <f>(Sol.TempTest)*EXP((10000/8.314)*(1/TEMP.SolTest-1/TEMP))</f>
        <v>473.94507832703567</v>
      </c>
      <c r="G11" s="3"/>
      <c r="H11" s="42" t="s">
        <v>83</v>
      </c>
    </row>
    <row r="12" spans="1:9" s="46" customFormat="1" ht="16.8">
      <c r="A12" s="34" t="s">
        <v>345</v>
      </c>
      <c r="B12" s="42" t="s">
        <v>4</v>
      </c>
      <c r="C12" s="68">
        <f>IF(E12="",F12,E12)</f>
        <v>205</v>
      </c>
      <c r="D12" s="42" t="s">
        <v>84</v>
      </c>
      <c r="E12" s="134">
        <f>input!C6</f>
        <v>205</v>
      </c>
      <c r="F12" s="3"/>
      <c r="G12" s="62"/>
      <c r="H12" s="42" t="s">
        <v>346</v>
      </c>
      <c r="I12" s="150"/>
    </row>
    <row r="13" spans="1:9" s="46" customFormat="1" ht="14.4">
      <c r="A13" s="34" t="s">
        <v>70</v>
      </c>
      <c r="B13" s="42" t="s">
        <v>69</v>
      </c>
      <c r="C13" s="68">
        <f>IF(E13="",F13,E13)</f>
        <v>537.03179637025301</v>
      </c>
      <c r="D13" s="42" t="s">
        <v>286</v>
      </c>
      <c r="E13" s="26">
        <f>input!C7</f>
        <v>537.03179637025301</v>
      </c>
      <c r="F13" s="3"/>
      <c r="G13" s="62"/>
      <c r="H13" s="42" t="s">
        <v>286</v>
      </c>
    </row>
    <row r="14" spans="1:9" s="46" customFormat="1" ht="14.4">
      <c r="A14" s="34" t="s">
        <v>347</v>
      </c>
      <c r="B14" s="42" t="s">
        <v>228</v>
      </c>
      <c r="C14" s="68" t="str">
        <f>IF(E14="",F14,E14)</f>
        <v>快速生物降解</v>
      </c>
      <c r="D14" s="42" t="s">
        <v>135</v>
      </c>
      <c r="E14" s="46" t="str">
        <f>input!C8</f>
        <v>快速生物降解</v>
      </c>
      <c r="F14" s="3" t="s">
        <v>348</v>
      </c>
      <c r="G14" s="62"/>
      <c r="H14" s="42" t="s">
        <v>135</v>
      </c>
    </row>
    <row r="15" spans="1:9" s="46" customFormat="1" ht="14.4">
      <c r="A15" s="34" t="s">
        <v>349</v>
      </c>
      <c r="B15" s="25" t="s">
        <v>48</v>
      </c>
      <c r="C15" s="3">
        <f>IF(E15="0",F15+273,E15+273)</f>
        <v>247.8</v>
      </c>
      <c r="D15" s="42" t="s">
        <v>49</v>
      </c>
      <c r="E15" s="131">
        <f>IF(ISBLANK(input!C12)=TRUE,F15,input!C12)</f>
        <v>-25.2</v>
      </c>
      <c r="F15" s="3">
        <v>45</v>
      </c>
      <c r="G15" s="62"/>
      <c r="H15" s="42" t="s">
        <v>315</v>
      </c>
    </row>
    <row r="16" spans="1:9" s="46" customFormat="1" ht="14.4">
      <c r="A16" s="34" t="s">
        <v>350</v>
      </c>
      <c r="B16" s="25" t="s">
        <v>46</v>
      </c>
      <c r="C16" s="43">
        <f>IF(E16="",F16,E16)</f>
        <v>595.26182203775363</v>
      </c>
      <c r="D16" s="42" t="s">
        <v>47</v>
      </c>
      <c r="E16" s="3"/>
      <c r="F16" s="38">
        <f>Vp/EXP(6.79*(1-TEMPmelt/TEMP))</f>
        <v>595.26182203775363</v>
      </c>
      <c r="G16" s="3"/>
      <c r="H16" s="42" t="s">
        <v>287</v>
      </c>
    </row>
    <row r="17" spans="1:8" s="8" customFormat="1" ht="14.4">
      <c r="A17" s="15" t="s">
        <v>520</v>
      </c>
      <c r="B17" s="10"/>
      <c r="C17" s="12"/>
      <c r="D17" s="24"/>
      <c r="E17" s="11"/>
      <c r="F17" s="11"/>
      <c r="G17" s="11"/>
      <c r="H17" s="24"/>
    </row>
    <row r="18" spans="1:8" s="46" customFormat="1" ht="14.4">
      <c r="A18" s="34" t="s">
        <v>361</v>
      </c>
      <c r="B18" s="25" t="s">
        <v>107</v>
      </c>
      <c r="C18" s="43">
        <f>IF(E18="",F18,E18)</f>
        <v>0.01</v>
      </c>
      <c r="D18" s="42" t="s">
        <v>289</v>
      </c>
      <c r="E18" s="61"/>
      <c r="F18" s="61">
        <v>0.01</v>
      </c>
      <c r="G18" s="61"/>
      <c r="H18" s="42" t="s">
        <v>289</v>
      </c>
    </row>
    <row r="19" spans="1:8" s="46" customFormat="1" ht="18.600000000000001">
      <c r="A19" s="34" t="s">
        <v>362</v>
      </c>
      <c r="B19" s="25" t="s">
        <v>109</v>
      </c>
      <c r="C19" s="43">
        <f>IF(E19="",F19,E19)</f>
        <v>0.01</v>
      </c>
      <c r="D19" s="60" t="s">
        <v>288</v>
      </c>
      <c r="E19" s="61"/>
      <c r="F19" s="61">
        <v>0.01</v>
      </c>
      <c r="G19" s="61"/>
      <c r="H19" s="60" t="s">
        <v>288</v>
      </c>
    </row>
    <row r="20" spans="1:8" s="46" customFormat="1">
      <c r="A20" s="34"/>
      <c r="B20" s="25"/>
      <c r="C20" s="68"/>
      <c r="D20" s="42"/>
      <c r="E20" s="3"/>
      <c r="F20" s="38"/>
      <c r="G20" s="3"/>
      <c r="H20" s="42"/>
    </row>
    <row r="21" spans="1:8" s="8" customFormat="1" ht="14.4">
      <c r="A21" s="15" t="s">
        <v>546</v>
      </c>
      <c r="B21" s="10"/>
      <c r="C21" s="12"/>
      <c r="D21" s="24"/>
      <c r="E21" s="11"/>
      <c r="F21" s="11"/>
      <c r="G21" s="11"/>
      <c r="H21" s="24"/>
    </row>
    <row r="22" spans="1:8" s="46" customFormat="1" ht="16.8">
      <c r="A22" s="42" t="s">
        <v>354</v>
      </c>
      <c r="B22" s="25" t="s">
        <v>21</v>
      </c>
      <c r="C22" s="43">
        <f t="shared" ref="C22:C27" si="0">IF(E22="",F22,E22)</f>
        <v>268.87584037894214</v>
      </c>
      <c r="D22" s="25" t="s">
        <v>71</v>
      </c>
      <c r="E22" s="37"/>
      <c r="F22" s="37">
        <f>Vp*MOLW/Sol</f>
        <v>268.87584037894214</v>
      </c>
      <c r="G22" s="37"/>
      <c r="H22" s="25" t="s">
        <v>71</v>
      </c>
    </row>
    <row r="23" spans="1:8" s="46" customFormat="1" ht="16.8">
      <c r="A23" s="42" t="s">
        <v>355</v>
      </c>
      <c r="B23" s="25" t="s">
        <v>24</v>
      </c>
      <c r="C23" s="43">
        <f t="shared" si="0"/>
        <v>0.11427607755105999</v>
      </c>
      <c r="D23" s="25" t="s">
        <v>17</v>
      </c>
      <c r="E23" s="64"/>
      <c r="F23" s="64">
        <f>HENRY/8.314/TEMP</f>
        <v>0.11427607755105999</v>
      </c>
      <c r="G23" s="64"/>
      <c r="H23" s="25" t="s">
        <v>17</v>
      </c>
    </row>
    <row r="24" spans="1:8" s="46" customFormat="1" ht="14.4">
      <c r="A24" s="42" t="s">
        <v>360</v>
      </c>
      <c r="B24" s="25" t="s">
        <v>106</v>
      </c>
      <c r="C24" s="43">
        <f t="shared" si="0"/>
        <v>1.6799327539324387E-7</v>
      </c>
      <c r="D24" s="42" t="s">
        <v>26</v>
      </c>
      <c r="E24" s="43">
        <f>0.0001/(VPL+0.0001)</f>
        <v>1.6799327539324387E-7</v>
      </c>
      <c r="F24" s="43">
        <f>IF(Solid="yes",CONjunge*SURF.aer/(VPL+CONjunge*SURF.aer),CONjunge*SURF.aer/(Vp+CONjunge*SURF.aer))</f>
        <v>7.219514574790516E-8</v>
      </c>
      <c r="G24" s="61"/>
      <c r="H24" s="42" t="s">
        <v>26</v>
      </c>
    </row>
    <row r="25" spans="1:8" s="46" customFormat="1" ht="18.600000000000001">
      <c r="A25" s="34" t="s">
        <v>351</v>
      </c>
      <c r="B25" s="25" t="s">
        <v>41</v>
      </c>
      <c r="C25" s="43">
        <f t="shared" si="0"/>
        <v>4.0999999999999996</v>
      </c>
      <c r="D25" s="60" t="s">
        <v>352</v>
      </c>
      <c r="E25" s="62"/>
      <c r="F25" s="62">
        <f>Foc.soil*Koc</f>
        <v>4.0999999999999996</v>
      </c>
      <c r="G25" s="62"/>
      <c r="H25" s="60" t="s">
        <v>352</v>
      </c>
    </row>
    <row r="26" spans="1:8" s="46" customFormat="1" ht="16.8">
      <c r="A26" s="34" t="s">
        <v>353</v>
      </c>
      <c r="B26" s="42" t="s">
        <v>244</v>
      </c>
      <c r="C26" s="43">
        <f t="shared" si="0"/>
        <v>20.5</v>
      </c>
      <c r="D26" s="42" t="s">
        <v>84</v>
      </c>
      <c r="E26" s="62"/>
      <c r="F26" s="62">
        <f>Foc.susp*Koc</f>
        <v>20.5</v>
      </c>
      <c r="G26" s="62"/>
      <c r="H26" s="42" t="s">
        <v>346</v>
      </c>
    </row>
    <row r="27" spans="1:8" s="46" customFormat="1" ht="16.8">
      <c r="A27" s="34" t="s">
        <v>561</v>
      </c>
      <c r="B27" s="42" t="s">
        <v>245</v>
      </c>
      <c r="C27" s="43">
        <f t="shared" si="0"/>
        <v>10.25</v>
      </c>
      <c r="D27" s="42" t="s">
        <v>84</v>
      </c>
      <c r="E27" s="3"/>
      <c r="F27" s="3">
        <f>Foc.sed*Koc</f>
        <v>10.25</v>
      </c>
      <c r="G27" s="3"/>
      <c r="H27" s="42" t="s">
        <v>84</v>
      </c>
    </row>
    <row r="28" spans="1:8" s="46" customFormat="1" ht="16.8">
      <c r="A28" s="42" t="s">
        <v>356</v>
      </c>
      <c r="B28" s="25" t="s">
        <v>25</v>
      </c>
      <c r="C28" s="43">
        <f t="shared" ref="C28:C39" si="1">IF(E28="",F28,E28)</f>
        <v>6.3728552155102118</v>
      </c>
      <c r="D28" s="25" t="s">
        <v>17</v>
      </c>
      <c r="E28" s="64"/>
      <c r="F28" s="64">
        <f>Fair.soil*Kair_water+Fwater.soil+Fsolid.soil*Kp.soil*RHOsolid/1000</f>
        <v>6.3728552155102118</v>
      </c>
      <c r="G28" s="64"/>
      <c r="H28" s="25" t="s">
        <v>17</v>
      </c>
    </row>
    <row r="29" spans="1:8" s="46" customFormat="1" ht="18.600000000000001">
      <c r="A29" s="42" t="s">
        <v>357</v>
      </c>
      <c r="B29" s="42" t="s">
        <v>38</v>
      </c>
      <c r="C29" s="43">
        <f t="shared" si="1"/>
        <v>6.0250000000000012</v>
      </c>
      <c r="D29" s="60" t="s">
        <v>6</v>
      </c>
      <c r="E29" s="3"/>
      <c r="F29" s="3">
        <f>Fwater.susp+Fsolid.susp*Kp.susp*RHOsolid/1000</f>
        <v>6.0250000000000012</v>
      </c>
      <c r="G29" s="3"/>
      <c r="H29" s="60" t="s">
        <v>6</v>
      </c>
    </row>
    <row r="30" spans="1:8" s="46" customFormat="1" ht="18.600000000000001">
      <c r="A30" s="42" t="s">
        <v>358</v>
      </c>
      <c r="B30" s="42" t="s">
        <v>45</v>
      </c>
      <c r="C30" s="43">
        <f t="shared" si="1"/>
        <v>5.9250000000000007</v>
      </c>
      <c r="D30" s="60" t="s">
        <v>359</v>
      </c>
      <c r="E30" s="3"/>
      <c r="F30" s="3">
        <f>Fwater.sed+Fsolid.sed*Kp.sed*RHOsolid/1000</f>
        <v>5.9250000000000007</v>
      </c>
      <c r="G30" s="3"/>
      <c r="H30" s="60" t="s">
        <v>108</v>
      </c>
    </row>
    <row r="31" spans="1:8" s="46" customFormat="1" ht="16.8">
      <c r="A31" s="36" t="s">
        <v>525</v>
      </c>
      <c r="B31" s="42" t="s">
        <v>526</v>
      </c>
      <c r="C31" s="43">
        <f t="shared" ref="C31:C38" si="2">IF(E31="",F31,E31)</f>
        <v>0</v>
      </c>
      <c r="D31" s="42" t="s">
        <v>535</v>
      </c>
      <c r="E31" s="3"/>
      <c r="F31" s="3">
        <f>input!C10</f>
        <v>0</v>
      </c>
      <c r="G31" s="3"/>
      <c r="H31" s="42" t="s">
        <v>534</v>
      </c>
    </row>
    <row r="32" spans="1:8" s="332" customFormat="1" ht="16.8">
      <c r="A32" s="328" t="s">
        <v>552</v>
      </c>
      <c r="B32" s="329" t="s">
        <v>553</v>
      </c>
      <c r="C32" s="330"/>
      <c r="D32" s="329" t="s">
        <v>560</v>
      </c>
      <c r="E32" s="331"/>
      <c r="F32" s="331"/>
      <c r="G32" s="331"/>
      <c r="H32" s="329"/>
    </row>
    <row r="33" spans="1:9" s="46" customFormat="1" ht="16.8">
      <c r="A33" s="36" t="s">
        <v>528</v>
      </c>
      <c r="B33" s="42" t="s">
        <v>527</v>
      </c>
      <c r="C33" s="43">
        <f t="shared" si="2"/>
        <v>1</v>
      </c>
      <c r="D33" s="42" t="s">
        <v>536</v>
      </c>
      <c r="E33" s="3"/>
      <c r="F33" s="3">
        <f>IF(Biodeg="快速生物降解",1,IF(Biodeg="快速生物降解试验28d通过但未通过10d观察期",0.3,IF(Biodeg="28d快速生物降解率≥20%或固有降解率≥70%",0.1,IF(Biodeg="固有生物降解率为20%~70%",0.03,0))))</f>
        <v>1</v>
      </c>
      <c r="G33" s="3"/>
      <c r="H33" s="42" t="s">
        <v>532</v>
      </c>
    </row>
    <row r="34" spans="1:9" s="46" customFormat="1" ht="16.8">
      <c r="A34" s="36" t="s">
        <v>537</v>
      </c>
      <c r="B34" s="42" t="s">
        <v>529</v>
      </c>
      <c r="C34" s="43">
        <f t="shared" si="2"/>
        <v>1</v>
      </c>
      <c r="D34" s="42" t="s">
        <v>559</v>
      </c>
      <c r="E34" s="3"/>
      <c r="F34" s="3">
        <f>kbio.stp+khydr.water</f>
        <v>1</v>
      </c>
      <c r="G34" s="3"/>
      <c r="H34" s="42" t="s">
        <v>532</v>
      </c>
    </row>
    <row r="35" spans="1:9" s="332" customFormat="1" ht="16.8">
      <c r="A35" s="328" t="s">
        <v>507</v>
      </c>
      <c r="B35" s="333" t="s">
        <v>508</v>
      </c>
      <c r="C35" s="330">
        <f t="shared" si="2"/>
        <v>9.9999999999999995E-21</v>
      </c>
      <c r="D35" s="329" t="s">
        <v>50</v>
      </c>
      <c r="E35" s="331"/>
      <c r="F35" s="331">
        <f>IF(Biodeg=1,LN(2)/15,IF(Biodeg=2,LN(2)/15,IF(Biodeg=3,LN(2)/50,IF(Biodeg=4,LN(2)/150,IF(Biodeg=5,LN(2)/150,1E-20)))))</f>
        <v>9.9999999999999995E-21</v>
      </c>
      <c r="G35" s="334"/>
      <c r="H35" s="335"/>
      <c r="I35" s="336" t="s">
        <v>509</v>
      </c>
    </row>
    <row r="36" spans="1:9" s="332" customFormat="1" ht="16.8">
      <c r="A36" s="328" t="s">
        <v>554</v>
      </c>
      <c r="B36" s="333" t="s">
        <v>555</v>
      </c>
      <c r="C36" s="330"/>
      <c r="D36" s="329" t="s">
        <v>558</v>
      </c>
      <c r="E36" s="331"/>
      <c r="F36" s="331"/>
      <c r="G36" s="334"/>
      <c r="H36" s="335"/>
      <c r="I36" s="336"/>
    </row>
    <row r="37" spans="1:9" s="332" customFormat="1" ht="16.8">
      <c r="A37" s="328" t="s">
        <v>556</v>
      </c>
      <c r="B37" s="333" t="s">
        <v>557</v>
      </c>
      <c r="C37" s="330"/>
      <c r="D37" s="329" t="s">
        <v>558</v>
      </c>
      <c r="E37" s="331"/>
      <c r="F37" s="331"/>
      <c r="G37" s="334"/>
      <c r="H37" s="335"/>
      <c r="I37" s="336"/>
    </row>
    <row r="38" spans="1:9" s="46" customFormat="1" ht="16.8">
      <c r="A38" s="34" t="s">
        <v>368</v>
      </c>
      <c r="B38" s="25" t="s">
        <v>51</v>
      </c>
      <c r="C38" s="43">
        <f t="shared" si="2"/>
        <v>2.3104906018664842E-2</v>
      </c>
      <c r="D38" s="42" t="s">
        <v>50</v>
      </c>
      <c r="E38" s="3"/>
      <c r="F38" s="3">
        <f>LN(2)/IF(Biodeg="快速生物降解",IF(Kp.soil&lt;=100,30,IF(Kp.soil&lt;=1000,300,IF(Kp.soil&lt;=10000,3000,30000))),IF(Biodeg="快速生物降解试验28d通过但未通过10d观察期",IF(Kp.soil&lt;=100,90,IF(Kp.soil&lt;=1000,900,IF(Kp.soil&lt;=10000,9000,90000))),IF(OR(Biodeg="28d快速生物降解率≥20%或固有降解率≥70%",Biodeg="固有生物降解率为20%~70%"),IF(Kp.soil&lt;=100,300,IF(Kp.soil&lt;=1000,3000,IF(Kp.soil&lt;=10000,30000,300000))),1000000)))</f>
        <v>2.3104906018664842E-2</v>
      </c>
      <c r="G38" s="3"/>
      <c r="H38" s="42" t="s">
        <v>50</v>
      </c>
    </row>
    <row r="39" spans="1:9" s="46" customFormat="1" ht="16.8">
      <c r="A39" s="42" t="s">
        <v>363</v>
      </c>
      <c r="B39" s="25" t="s">
        <v>448</v>
      </c>
      <c r="C39" s="43">
        <f t="shared" si="1"/>
        <v>42</v>
      </c>
      <c r="D39" s="42" t="s">
        <v>50</v>
      </c>
      <c r="E39" s="131">
        <f>IF(ISBLANK(input!C9)=TRUE,F39,input!C9)</f>
        <v>42</v>
      </c>
      <c r="F39" s="3">
        <f>1000*IF(LOG10(Kow)&lt;1,0.00141,IF(LOG10(Kow)&gt;10,0.479,IF(LOG10(Kow)&lt;=6,10^(0.85*LOG10(Kow)-3.7),10^(-0.2*LOG10(Kow)^2 +2.74*LOG10(Kow)-7.72))))</f>
        <v>41.734959846531723</v>
      </c>
      <c r="G39" s="68"/>
      <c r="H39" s="100" t="s">
        <v>364</v>
      </c>
      <c r="I39" s="57" t="s">
        <v>538</v>
      </c>
    </row>
    <row r="40" spans="1:9" s="187" customFormat="1" ht="14.4" hidden="1">
      <c r="A40" s="321" t="s">
        <v>365</v>
      </c>
      <c r="B40" s="82" t="s">
        <v>185</v>
      </c>
      <c r="C40" s="85">
        <f>IF(E40="",F40,E40)</f>
        <v>1</v>
      </c>
      <c r="D40" s="264" t="s">
        <v>135</v>
      </c>
      <c r="E40" s="87">
        <v>1</v>
      </c>
      <c r="F40" s="87">
        <f>IF(LOG(Kow)&lt;4.5,1,IF(LOG(Kow)&gt;9,1,IF(LOG(Kow)&lt;5,2,IF(LOG(Kow)&lt;=8,10,3))))</f>
        <v>1</v>
      </c>
      <c r="G40" s="322"/>
      <c r="H40" s="264" t="s">
        <v>188</v>
      </c>
      <c r="I40" s="323" t="s">
        <v>539</v>
      </c>
    </row>
    <row r="41" spans="1:9" s="187" customFormat="1" ht="14.4" hidden="1">
      <c r="A41" s="321" t="s">
        <v>366</v>
      </c>
      <c r="B41" s="82" t="s">
        <v>186</v>
      </c>
      <c r="C41" s="85">
        <f>IF(E41="",F41,E41)</f>
        <v>1</v>
      </c>
      <c r="D41" s="264" t="s">
        <v>135</v>
      </c>
      <c r="E41" s="87"/>
      <c r="F41" s="87">
        <f>IF(LOG(Kow)&lt;4.5,1,IF(LOG(Kow)&gt;9,1,IF(LOG(Kow)&lt;5,2,IF(LOG(Kow)&lt;=8,10,3))))</f>
        <v>1</v>
      </c>
      <c r="G41" s="322"/>
      <c r="H41" s="264" t="s">
        <v>189</v>
      </c>
    </row>
    <row r="42" spans="1:9" s="46" customFormat="1" ht="16.8">
      <c r="A42" s="42" t="s">
        <v>367</v>
      </c>
      <c r="B42" s="25" t="s">
        <v>204</v>
      </c>
      <c r="C42" s="43">
        <f>IF(E42="",F42,E42)</f>
        <v>7.2843815564430363</v>
      </c>
      <c r="D42" s="101" t="s">
        <v>195</v>
      </c>
      <c r="E42" s="3"/>
      <c r="F42" s="3">
        <f>(0.84+0.012*Kow)/RHOworm</f>
        <v>7.2843815564430363</v>
      </c>
      <c r="G42" s="68"/>
      <c r="H42" s="101" t="s">
        <v>195</v>
      </c>
    </row>
    <row r="43" spans="1:9" s="5" customFormat="1" ht="14.4">
      <c r="A43" s="9" t="s">
        <v>498</v>
      </c>
      <c r="B43" s="10"/>
      <c r="C43" s="11"/>
      <c r="D43" s="16"/>
      <c r="E43" s="12"/>
      <c r="F43" s="12"/>
      <c r="G43" s="12"/>
      <c r="H43" s="16"/>
    </row>
    <row r="44" spans="1:9" s="263" customFormat="1" ht="14.4">
      <c r="A44" s="259" t="s">
        <v>474</v>
      </c>
      <c r="B44" s="25" t="s">
        <v>473</v>
      </c>
      <c r="C44" s="43" t="str">
        <f t="shared" ref="C44:C56" si="3">IF(E44="",F44,E44)</f>
        <v>工业源</v>
      </c>
      <c r="D44" s="261"/>
      <c r="E44" s="3" t="str">
        <f>input!C15</f>
        <v>工业源</v>
      </c>
      <c r="F44" s="262"/>
      <c r="G44" s="262"/>
      <c r="H44" s="261"/>
    </row>
    <row r="45" spans="1:9" s="46" customFormat="1" ht="16.8">
      <c r="A45" s="258" t="s">
        <v>547</v>
      </c>
      <c r="B45" s="42" t="s">
        <v>246</v>
      </c>
      <c r="C45" s="43">
        <f>IF(E45="",F45,E45)</f>
        <v>9.99</v>
      </c>
      <c r="D45" s="42" t="s">
        <v>295</v>
      </c>
      <c r="E45" s="2">
        <f>input!C17</f>
        <v>9.99</v>
      </c>
      <c r="F45" s="3"/>
      <c r="G45" s="3"/>
      <c r="H45" s="42" t="s">
        <v>295</v>
      </c>
      <c r="I45" s="57"/>
    </row>
    <row r="46" spans="1:9" s="46" customFormat="1" ht="16.8">
      <c r="A46" s="258" t="s">
        <v>548</v>
      </c>
      <c r="B46" s="25" t="s">
        <v>105</v>
      </c>
      <c r="C46" s="43">
        <f>IF(E46="",F46,E46)</f>
        <v>8.33</v>
      </c>
      <c r="D46" s="42" t="s">
        <v>295</v>
      </c>
      <c r="E46" s="2">
        <f>input!C18</f>
        <v>8.33</v>
      </c>
      <c r="F46" s="3"/>
      <c r="G46" s="3"/>
      <c r="H46" s="42" t="s">
        <v>295</v>
      </c>
    </row>
    <row r="47" spans="1:9" s="46" customFormat="1" ht="16.8">
      <c r="A47" s="259" t="s">
        <v>549</v>
      </c>
      <c r="B47" s="42" t="s">
        <v>466</v>
      </c>
      <c r="C47" s="43">
        <f>IF(E47="",F47,E47)</f>
        <v>0</v>
      </c>
      <c r="D47" s="42" t="s">
        <v>475</v>
      </c>
      <c r="E47" s="3">
        <f>input!C19</f>
        <v>0</v>
      </c>
      <c r="F47" s="3"/>
      <c r="G47" s="3"/>
      <c r="H47" s="42"/>
      <c r="I47" s="57"/>
    </row>
    <row r="48" spans="1:9" s="46" customFormat="1" ht="16.8">
      <c r="A48" s="42" t="s">
        <v>374</v>
      </c>
      <c r="B48" s="42" t="s">
        <v>36</v>
      </c>
      <c r="C48" s="43">
        <f>IF(E48="",F48,E48)</f>
        <v>20</v>
      </c>
      <c r="D48" s="42" t="s">
        <v>307</v>
      </c>
      <c r="E48" s="3">
        <f>input!C16</f>
        <v>20</v>
      </c>
      <c r="F48" s="3">
        <v>20</v>
      </c>
      <c r="G48" s="3"/>
      <c r="H48" s="42" t="s">
        <v>307</v>
      </c>
    </row>
    <row r="49" spans="1:10" s="300" customFormat="1" ht="14.4">
      <c r="A49" s="296" t="s">
        <v>369</v>
      </c>
      <c r="B49" s="297" t="s">
        <v>73</v>
      </c>
      <c r="C49" s="298">
        <f t="shared" si="3"/>
        <v>100</v>
      </c>
      <c r="D49" s="297" t="s">
        <v>135</v>
      </c>
      <c r="E49" s="299"/>
      <c r="F49" s="299">
        <v>100</v>
      </c>
      <c r="G49" s="299"/>
      <c r="H49" s="297" t="s">
        <v>190</v>
      </c>
    </row>
    <row r="50" spans="1:10" s="300" customFormat="1" ht="14.4">
      <c r="A50" s="296" t="s">
        <v>370</v>
      </c>
      <c r="B50" s="297" t="s">
        <v>74</v>
      </c>
      <c r="C50" s="298">
        <f t="shared" si="3"/>
        <v>100</v>
      </c>
      <c r="D50" s="297" t="s">
        <v>135</v>
      </c>
      <c r="E50" s="299"/>
      <c r="F50" s="299">
        <v>100</v>
      </c>
      <c r="G50" s="299"/>
      <c r="H50" s="297" t="s">
        <v>191</v>
      </c>
    </row>
    <row r="51" spans="1:10" s="300" customFormat="1" ht="14.4">
      <c r="A51" s="296" t="s">
        <v>371</v>
      </c>
      <c r="B51" s="297" t="s">
        <v>75</v>
      </c>
      <c r="C51" s="298">
        <f t="shared" si="3"/>
        <v>100</v>
      </c>
      <c r="D51" s="297" t="s">
        <v>135</v>
      </c>
      <c r="E51" s="299"/>
      <c r="F51" s="299">
        <v>100</v>
      </c>
      <c r="G51" s="299"/>
      <c r="H51" s="297" t="s">
        <v>191</v>
      </c>
    </row>
    <row r="52" spans="1:10" s="300" customFormat="1" ht="14.4">
      <c r="A52" s="296" t="s">
        <v>372</v>
      </c>
      <c r="B52" s="297" t="s">
        <v>5</v>
      </c>
      <c r="C52" s="298">
        <f t="shared" si="3"/>
        <v>1</v>
      </c>
      <c r="D52" s="297" t="s">
        <v>135</v>
      </c>
      <c r="E52" s="299"/>
      <c r="F52" s="299">
        <v>1</v>
      </c>
      <c r="G52" s="299"/>
      <c r="H52" s="297" t="s">
        <v>135</v>
      </c>
    </row>
    <row r="53" spans="1:10" s="300" customFormat="1" ht="14.4">
      <c r="A53" s="301" t="s">
        <v>373</v>
      </c>
      <c r="B53" s="297" t="s">
        <v>247</v>
      </c>
      <c r="C53" s="298">
        <f t="shared" si="3"/>
        <v>0</v>
      </c>
      <c r="D53" s="297" t="s">
        <v>135</v>
      </c>
      <c r="E53" s="299"/>
      <c r="F53" s="299">
        <v>0</v>
      </c>
      <c r="G53" s="299"/>
      <c r="H53" s="297" t="s">
        <v>189</v>
      </c>
    </row>
    <row r="54" spans="1:10" s="300" customFormat="1" ht="14.4">
      <c r="A54" s="301" t="s">
        <v>373</v>
      </c>
      <c r="B54" s="297" t="s">
        <v>248</v>
      </c>
      <c r="C54" s="298">
        <f t="shared" si="3"/>
        <v>0</v>
      </c>
      <c r="D54" s="297" t="s">
        <v>135</v>
      </c>
      <c r="E54" s="299"/>
      <c r="F54" s="299">
        <v>0</v>
      </c>
      <c r="G54" s="299"/>
      <c r="H54" s="297" t="s">
        <v>189</v>
      </c>
    </row>
    <row r="55" spans="1:10" s="300" customFormat="1" ht="16.8">
      <c r="A55" s="302" t="s">
        <v>469</v>
      </c>
      <c r="B55" s="303" t="s">
        <v>53</v>
      </c>
      <c r="C55" s="298">
        <f t="shared" si="3"/>
        <v>16500</v>
      </c>
      <c r="D55" s="297" t="s">
        <v>477</v>
      </c>
      <c r="E55" s="299"/>
      <c r="F55" s="299">
        <f>Qchemical*Femisssion.soil*(1-Fabatement.Soil)/Temission</f>
        <v>16500</v>
      </c>
      <c r="G55" s="299"/>
      <c r="H55" s="297" t="s">
        <v>478</v>
      </c>
    </row>
    <row r="56" spans="1:10" s="300" customFormat="1" ht="14.4">
      <c r="A56" s="301" t="s">
        <v>373</v>
      </c>
      <c r="B56" s="297" t="s">
        <v>249</v>
      </c>
      <c r="C56" s="298">
        <f t="shared" si="3"/>
        <v>0</v>
      </c>
      <c r="D56" s="297" t="s">
        <v>135</v>
      </c>
      <c r="E56" s="299"/>
      <c r="F56" s="299">
        <v>0</v>
      </c>
      <c r="G56" s="299"/>
      <c r="H56" s="297" t="s">
        <v>189</v>
      </c>
    </row>
    <row r="57" spans="1:10" s="186" customFormat="1" ht="14.4">
      <c r="A57" s="16" t="s">
        <v>375</v>
      </c>
      <c r="B57" s="13"/>
      <c r="C57" s="14"/>
      <c r="D57" s="13"/>
      <c r="E57" s="14"/>
      <c r="F57" s="14"/>
      <c r="G57" s="14"/>
      <c r="H57" s="13"/>
    </row>
    <row r="58" spans="1:10" s="46" customFormat="1" ht="14.4">
      <c r="A58" s="34" t="s">
        <v>376</v>
      </c>
      <c r="B58" s="42" t="s">
        <v>322</v>
      </c>
      <c r="C58" s="68">
        <f t="shared" ref="C58:C64" si="4">IF(E58="",F58,E58)</f>
        <v>6.1115958522681361E-2</v>
      </c>
      <c r="D58" s="42" t="s">
        <v>135</v>
      </c>
      <c r="E58" s="149"/>
      <c r="F58" s="304">
        <f>[1]!Fstp.water</f>
        <v>6.1115958522681361E-2</v>
      </c>
      <c r="G58" s="3">
        <v>7.2999999999999995E-2</v>
      </c>
      <c r="H58" s="42" t="s">
        <v>135</v>
      </c>
      <c r="I58" s="46" t="s">
        <v>377</v>
      </c>
    </row>
    <row r="59" spans="1:10" s="46" customFormat="1" ht="14.4">
      <c r="A59" s="34" t="s">
        <v>378</v>
      </c>
      <c r="B59" s="42" t="s">
        <v>241</v>
      </c>
      <c r="C59" s="68">
        <f t="shared" si="4"/>
        <v>0.21124153585431638</v>
      </c>
      <c r="D59" s="42" t="s">
        <v>135</v>
      </c>
      <c r="E59" s="149"/>
      <c r="F59" s="304">
        <f>[1]!Fstp.air</f>
        <v>0.21124153585431638</v>
      </c>
      <c r="G59" s="3">
        <v>0.318</v>
      </c>
      <c r="H59" s="42" t="s">
        <v>135</v>
      </c>
      <c r="I59" s="46" t="s">
        <v>377</v>
      </c>
    </row>
    <row r="60" spans="1:10" s="46" customFormat="1" ht="14.4">
      <c r="A60" s="34" t="s">
        <v>379</v>
      </c>
      <c r="B60" s="42" t="s">
        <v>242</v>
      </c>
      <c r="C60" s="68">
        <f t="shared" si="4"/>
        <v>5.1428975353785145E-3</v>
      </c>
      <c r="D60" s="42" t="s">
        <v>135</v>
      </c>
      <c r="E60" s="149"/>
      <c r="F60" s="304">
        <f>[1]!Fstp.sludge</f>
        <v>5.1428975353785145E-3</v>
      </c>
      <c r="G60" s="3">
        <v>1.7999999999999999E-2</v>
      </c>
      <c r="H60" s="42" t="s">
        <v>135</v>
      </c>
      <c r="I60" s="46" t="s">
        <v>377</v>
      </c>
    </row>
    <row r="61" spans="1:10" s="300" customFormat="1" ht="16.8">
      <c r="A61" s="309"/>
      <c r="B61" s="303" t="s">
        <v>500</v>
      </c>
      <c r="C61" s="43">
        <f t="shared" si="4"/>
        <v>0.61054842564158684</v>
      </c>
      <c r="D61" s="303"/>
      <c r="E61" s="310"/>
      <c r="F61" s="310">
        <f>Fstp.water*Elocal.water</f>
        <v>0.61054842564158684</v>
      </c>
      <c r="G61" s="310"/>
      <c r="H61" s="303" t="s">
        <v>501</v>
      </c>
    </row>
    <row r="62" spans="1:10" s="46" customFormat="1" ht="16.8">
      <c r="A62" s="26" t="s">
        <v>380</v>
      </c>
      <c r="B62" s="25" t="s">
        <v>175</v>
      </c>
      <c r="C62" s="43">
        <f t="shared" si="4"/>
        <v>2.1103029431846205</v>
      </c>
      <c r="D62" s="42" t="s">
        <v>475</v>
      </c>
      <c r="E62" s="3"/>
      <c r="F62" s="3">
        <f>Fstp.air*Elocal.water</f>
        <v>2.1103029431846205</v>
      </c>
      <c r="G62" s="3"/>
      <c r="H62" s="42" t="s">
        <v>475</v>
      </c>
      <c r="J62" s="46">
        <f>Fstp.sludge*Elocal.water*1000000/SLUDGErate</f>
        <v>102.98717334178598</v>
      </c>
    </row>
    <row r="63" spans="1:10" s="46" customFormat="1" ht="16.8">
      <c r="A63" s="26" t="s">
        <v>381</v>
      </c>
      <c r="B63" s="25" t="s">
        <v>32</v>
      </c>
      <c r="C63" s="43">
        <f t="shared" si="4"/>
        <v>102.98717334178598</v>
      </c>
      <c r="D63" s="25" t="s">
        <v>89</v>
      </c>
      <c r="E63" s="33">
        <f>F63</f>
        <v>102.98717334178598</v>
      </c>
      <c r="F63" s="3">
        <f>Fstp.sludge*Elocal.water*1000000/SLUDGErate</f>
        <v>102.98717334178598</v>
      </c>
      <c r="G63" s="33">
        <v>232</v>
      </c>
      <c r="H63" s="25" t="s">
        <v>89</v>
      </c>
      <c r="I63" s="46" t="s">
        <v>382</v>
      </c>
      <c r="J63" s="46">
        <f>Fstp.sludge</f>
        <v>5.1428975353785145E-3</v>
      </c>
    </row>
    <row r="64" spans="1:10" s="27" customFormat="1" ht="16.8">
      <c r="A64" s="58" t="s">
        <v>54</v>
      </c>
      <c r="B64" s="25" t="s">
        <v>111</v>
      </c>
      <c r="C64" s="43">
        <f t="shared" si="4"/>
        <v>498.87325490450621</v>
      </c>
      <c r="D64" s="42" t="s">
        <v>52</v>
      </c>
      <c r="E64" s="136">
        <f>F64</f>
        <v>498.87325490450621</v>
      </c>
      <c r="F64" s="62">
        <f>[1]output!$C$48</f>
        <v>498.87325490450621</v>
      </c>
      <c r="G64" s="63">
        <v>790</v>
      </c>
      <c r="H64" s="42" t="s">
        <v>87</v>
      </c>
      <c r="I64" s="27" t="s">
        <v>76</v>
      </c>
    </row>
    <row r="65" spans="1:10" s="186" customFormat="1" ht="14.4">
      <c r="A65" s="16" t="s">
        <v>383</v>
      </c>
      <c r="B65" s="75"/>
      <c r="C65" s="76"/>
      <c r="D65" s="75"/>
      <c r="E65" s="88"/>
      <c r="F65" s="88"/>
      <c r="G65" s="88"/>
      <c r="H65" s="75"/>
      <c r="J65" s="186">
        <f>Elocal.water</f>
        <v>9.99</v>
      </c>
    </row>
    <row r="66" spans="1:10" s="46" customFormat="1" ht="16.8">
      <c r="A66" s="58" t="s">
        <v>480</v>
      </c>
      <c r="B66" s="42" t="s">
        <v>68</v>
      </c>
      <c r="C66" s="43">
        <f>Elocal.water*Fstp.water*10^3/((EFFLUENTstp+FLOW)*(1+Kp.susp*SUSPwater/10^6))</f>
        <v>3.0518036985706241E-2</v>
      </c>
      <c r="D66" s="25" t="s">
        <v>476</v>
      </c>
      <c r="E66" s="43"/>
      <c r="F66" s="43"/>
      <c r="G66" s="43"/>
      <c r="H66" s="42" t="s">
        <v>479</v>
      </c>
      <c r="J66" s="46">
        <f>SLUDGErate</f>
        <v>498.87325490450621</v>
      </c>
    </row>
    <row r="67" spans="1:10" s="46" customFormat="1" ht="16.8">
      <c r="A67" s="36" t="s">
        <v>464</v>
      </c>
      <c r="B67" s="42" t="s">
        <v>465</v>
      </c>
      <c r="C67" s="43">
        <f>Elocal.directwater*1000/(FLOW*(1+Kp.susp*SUSPwater/10^6))</f>
        <v>0</v>
      </c>
      <c r="D67" s="25" t="s">
        <v>476</v>
      </c>
      <c r="E67" s="43"/>
      <c r="F67" s="43"/>
      <c r="G67" s="43"/>
      <c r="H67" s="42" t="s">
        <v>479</v>
      </c>
    </row>
    <row r="68" spans="1:10" s="5" customFormat="1" ht="14.4">
      <c r="A68" s="16" t="s">
        <v>384</v>
      </c>
      <c r="B68" s="16"/>
      <c r="C68" s="12"/>
      <c r="D68" s="16"/>
      <c r="E68" s="12"/>
      <c r="F68" s="12"/>
      <c r="G68" s="12"/>
      <c r="H68" s="16"/>
    </row>
    <row r="69" spans="1:10" s="46" customFormat="1" ht="16.8" customHeight="1">
      <c r="A69" s="26" t="s">
        <v>385</v>
      </c>
      <c r="B69" s="25" t="s">
        <v>104</v>
      </c>
      <c r="C69" s="38">
        <f>(Elocal.air+ElocalSTP.air)*(Fass.aer*DEPstd.aer+(1-Fass_aer)*DEPstd.gas)</f>
        <v>3.1321078957920554E-3</v>
      </c>
      <c r="D69" s="25" t="s">
        <v>55</v>
      </c>
      <c r="E69" s="35"/>
      <c r="F69" s="35"/>
      <c r="G69" s="35"/>
      <c r="H69" s="25" t="s">
        <v>386</v>
      </c>
    </row>
    <row r="70" spans="1:10" s="46" customFormat="1" ht="19.2" customHeight="1">
      <c r="A70" s="34" t="s">
        <v>58</v>
      </c>
      <c r="B70" s="25" t="s">
        <v>56</v>
      </c>
      <c r="C70" s="33">
        <v>0.01</v>
      </c>
      <c r="D70" s="25" t="s">
        <v>386</v>
      </c>
      <c r="E70" s="3"/>
      <c r="F70" s="3"/>
      <c r="G70" s="3"/>
      <c r="H70" s="25" t="s">
        <v>55</v>
      </c>
    </row>
    <row r="71" spans="1:10" s="46" customFormat="1" ht="18" customHeight="1">
      <c r="A71" s="34" t="s">
        <v>59</v>
      </c>
      <c r="B71" s="25" t="s">
        <v>57</v>
      </c>
      <c r="C71" s="33">
        <f>IF(LOG10(HENRY)&lt;-2,0.0005,IF(LOG10(HENRY)&gt;2,0.0003,0.0004))</f>
        <v>2.9999999999999997E-4</v>
      </c>
      <c r="D71" s="25" t="s">
        <v>55</v>
      </c>
      <c r="E71" s="3"/>
      <c r="F71" s="3"/>
      <c r="G71" s="3"/>
      <c r="H71" s="25" t="s">
        <v>55</v>
      </c>
      <c r="I71" s="188"/>
    </row>
    <row r="72" spans="1:10" s="46" customFormat="1" ht="16.8">
      <c r="A72" s="34" t="s">
        <v>387</v>
      </c>
      <c r="B72" s="25" t="s">
        <v>77</v>
      </c>
      <c r="C72" s="39">
        <f>DEPtotal*Temission/365</f>
        <v>1.7162235045435918E-4</v>
      </c>
      <c r="D72" s="25" t="s">
        <v>388</v>
      </c>
      <c r="E72" s="35"/>
      <c r="F72" s="35"/>
      <c r="G72" s="3"/>
      <c r="H72" s="25" t="s">
        <v>55</v>
      </c>
    </row>
    <row r="73" spans="1:10" s="46" customFormat="1" ht="19.2" customHeight="1">
      <c r="A73" s="26" t="s">
        <v>389</v>
      </c>
      <c r="B73" s="25" t="s">
        <v>110</v>
      </c>
      <c r="C73" s="38">
        <f>DEPtotal.ann/(DEPTHsoil*RHOsoil)</f>
        <v>5.0469443042346219E-7</v>
      </c>
      <c r="D73" s="25" t="s">
        <v>390</v>
      </c>
      <c r="E73" s="35"/>
      <c r="F73" s="35"/>
      <c r="G73" s="3"/>
      <c r="H73" s="25" t="s">
        <v>390</v>
      </c>
    </row>
    <row r="74" spans="1:10" s="46" customFormat="1" ht="19.2" customHeight="1">
      <c r="A74" s="26" t="s">
        <v>391</v>
      </c>
      <c r="B74" s="25" t="s">
        <v>176</v>
      </c>
      <c r="C74" s="38">
        <v>2.7799999999999998E-4</v>
      </c>
      <c r="D74" s="189" t="s">
        <v>392</v>
      </c>
      <c r="E74" s="35"/>
      <c r="F74" s="35"/>
      <c r="G74" s="3"/>
      <c r="H74" s="189" t="s">
        <v>393</v>
      </c>
    </row>
    <row r="75" spans="1:10" s="46" customFormat="1" ht="19.2" customHeight="1">
      <c r="A75" s="26" t="s">
        <v>394</v>
      </c>
      <c r="B75" s="26" t="s">
        <v>174</v>
      </c>
      <c r="C75" s="38">
        <f>MAX(Elocal.air,ElocalSTP.air)*Cstd.air*Temission/365+PECreg.air</f>
        <v>1.2688986301369863E-4</v>
      </c>
      <c r="D75" s="189" t="s">
        <v>395</v>
      </c>
      <c r="E75" s="35"/>
      <c r="F75" s="35"/>
      <c r="G75" s="3"/>
      <c r="H75" s="189" t="s">
        <v>393</v>
      </c>
    </row>
    <row r="76" spans="1:10" s="190" customFormat="1" ht="14.4">
      <c r="A76" s="139" t="s">
        <v>396</v>
      </c>
      <c r="B76" s="29"/>
      <c r="C76" s="30"/>
      <c r="D76" s="29"/>
      <c r="E76" s="31"/>
      <c r="F76" s="31"/>
      <c r="G76" s="31"/>
      <c r="H76" s="29"/>
    </row>
    <row r="77" spans="1:10" s="46" customFormat="1" ht="16.8">
      <c r="A77" s="26" t="s">
        <v>397</v>
      </c>
      <c r="B77" s="25" t="s">
        <v>100</v>
      </c>
      <c r="C77" s="38">
        <f>kvolat+kleach+kbio.soil</f>
        <v>5.146710147109948E-2</v>
      </c>
      <c r="D77" s="42" t="s">
        <v>50</v>
      </c>
      <c r="E77" s="35"/>
      <c r="F77" s="35"/>
      <c r="G77" s="35"/>
      <c r="H77" s="42" t="s">
        <v>398</v>
      </c>
    </row>
    <row r="78" spans="1:10" s="46" customFormat="1" ht="16.8">
      <c r="A78" s="26" t="s">
        <v>399</v>
      </c>
      <c r="B78" s="25" t="s">
        <v>29</v>
      </c>
      <c r="C78" s="38">
        <f>IF(E78="",G78,E78)</f>
        <v>2.8000000000000001E-2</v>
      </c>
      <c r="D78" s="42" t="s">
        <v>400</v>
      </c>
      <c r="E78" s="35">
        <f>G78</f>
        <v>2.8000000000000001E-2</v>
      </c>
      <c r="F78" s="35">
        <f>CorrVolat.s*1/((Ksoil_water/(kasl.air*Kair_water)+1/kasl.soil)*DEPTHsoil)</f>
        <v>2.6683252154149805E-2</v>
      </c>
      <c r="G78" s="35">
        <v>2.8000000000000001E-2</v>
      </c>
      <c r="H78" s="42" t="s">
        <v>50</v>
      </c>
    </row>
    <row r="79" spans="1:10" s="46" customFormat="1" ht="16.8">
      <c r="A79" s="34" t="s">
        <v>401</v>
      </c>
      <c r="B79" s="25" t="s">
        <v>60</v>
      </c>
      <c r="C79" s="111">
        <f>0.43/0.00475</f>
        <v>90.526315789473685</v>
      </c>
      <c r="D79" s="25" t="s">
        <v>78</v>
      </c>
      <c r="E79" s="26"/>
      <c r="F79" s="3"/>
      <c r="G79" s="112"/>
      <c r="H79" s="25" t="s">
        <v>78</v>
      </c>
    </row>
    <row r="80" spans="1:10" s="46" customFormat="1" ht="14.4">
      <c r="A80" s="34" t="s">
        <v>96</v>
      </c>
      <c r="B80" s="25" t="s">
        <v>95</v>
      </c>
      <c r="C80" s="38">
        <f>0.1*kbio.soil</f>
        <v>2.3104906018664843E-3</v>
      </c>
      <c r="D80" s="25" t="s">
        <v>103</v>
      </c>
      <c r="E80" s="26"/>
      <c r="F80" s="3"/>
      <c r="G80" s="35"/>
      <c r="H80" s="25" t="s">
        <v>103</v>
      </c>
      <c r="I80" s="35"/>
    </row>
    <row r="81" spans="1:8" s="46" customFormat="1" ht="14.4">
      <c r="A81" s="34" t="s">
        <v>402</v>
      </c>
      <c r="B81" s="25" t="s">
        <v>149</v>
      </c>
      <c r="C81" s="39">
        <f>(1/0.1)*DEPTHsoil/(1-EXP(-1/0.1*DEPTHsoil))</f>
        <v>2.3130352854993315</v>
      </c>
      <c r="D81" s="25" t="s">
        <v>135</v>
      </c>
      <c r="E81" s="37"/>
      <c r="F81" s="37"/>
      <c r="G81" s="37"/>
      <c r="H81" s="25" t="s">
        <v>148</v>
      </c>
    </row>
    <row r="82" spans="1:8" s="46" customFormat="1" ht="16.8">
      <c r="A82" s="26" t="s">
        <v>403</v>
      </c>
      <c r="B82" s="25" t="s">
        <v>253</v>
      </c>
      <c r="C82" s="38">
        <f>Finf.soil*RAINrate/Ksoil_water/DEPTHsoil</f>
        <v>3.6219545243464243E-4</v>
      </c>
      <c r="D82" s="42" t="s">
        <v>50</v>
      </c>
      <c r="E82" s="43"/>
      <c r="F82" s="43"/>
      <c r="G82" s="43"/>
      <c r="H82" s="42" t="s">
        <v>398</v>
      </c>
    </row>
    <row r="83" spans="1:8" s="46" customFormat="1" ht="14.4">
      <c r="A83" s="34" t="s">
        <v>404</v>
      </c>
      <c r="B83" s="25" t="s">
        <v>254</v>
      </c>
      <c r="C83" s="41">
        <v>0.25</v>
      </c>
      <c r="D83" s="40" t="s">
        <v>135</v>
      </c>
      <c r="E83" s="37"/>
      <c r="F83" s="37"/>
      <c r="G83" s="37"/>
      <c r="H83" s="40" t="s">
        <v>189</v>
      </c>
    </row>
    <row r="84" spans="1:8" s="187" customFormat="1" ht="14.4">
      <c r="A84" s="122" t="s">
        <v>405</v>
      </c>
      <c r="B84" s="82" t="s">
        <v>97</v>
      </c>
      <c r="C84" s="83"/>
      <c r="D84" s="82" t="s">
        <v>98</v>
      </c>
      <c r="E84" s="84"/>
      <c r="F84" s="84"/>
      <c r="G84" s="85">
        <v>5.6899999999999999E-11</v>
      </c>
      <c r="H84" s="82" t="s">
        <v>98</v>
      </c>
    </row>
    <row r="85" spans="1:8" s="187" customFormat="1" ht="16.8">
      <c r="A85" s="122" t="s">
        <v>406</v>
      </c>
      <c r="B85" s="86" t="s">
        <v>99</v>
      </c>
      <c r="C85" s="83"/>
      <c r="D85" s="82" t="s">
        <v>407</v>
      </c>
      <c r="E85" s="84"/>
      <c r="F85" s="84"/>
      <c r="G85" s="85">
        <v>1.34E-10</v>
      </c>
      <c r="H85" s="82" t="s">
        <v>407</v>
      </c>
    </row>
    <row r="86" spans="1:8" s="187" customFormat="1" ht="14.4">
      <c r="A86" s="122" t="s">
        <v>408</v>
      </c>
      <c r="B86" s="82" t="s">
        <v>27</v>
      </c>
      <c r="C86" s="83"/>
      <c r="D86" s="82" t="s">
        <v>28</v>
      </c>
      <c r="E86" s="87"/>
      <c r="F86" s="87"/>
      <c r="G86" s="87">
        <v>8.9600000000000009</v>
      </c>
      <c r="H86" s="82" t="s">
        <v>28</v>
      </c>
    </row>
    <row r="87" spans="1:8" s="192" customFormat="1" ht="14.4">
      <c r="A87" s="191" t="s">
        <v>409</v>
      </c>
      <c r="B87" s="103"/>
      <c r="C87" s="105"/>
      <c r="D87" s="89"/>
      <c r="E87" s="90"/>
      <c r="F87" s="305"/>
      <c r="G87" s="90"/>
      <c r="H87" s="89"/>
    </row>
    <row r="88" spans="1:8" s="193" customFormat="1" ht="16.8">
      <c r="A88" s="124" t="s">
        <v>81</v>
      </c>
      <c r="B88" s="82" t="s">
        <v>82</v>
      </c>
      <c r="C88" s="125">
        <f>Cdep.soil10_0+Csludge.soil.10_0</f>
        <v>0.22715265649262711</v>
      </c>
      <c r="D88" s="126" t="s">
        <v>236</v>
      </c>
      <c r="E88" s="127"/>
      <c r="F88" s="127"/>
      <c r="G88" s="127"/>
      <c r="H88" s="126" t="s">
        <v>90</v>
      </c>
    </row>
    <row r="89" spans="1:8" s="194" customFormat="1" ht="16.8">
      <c r="A89" s="26" t="s">
        <v>410</v>
      </c>
      <c r="B89" s="25" t="s">
        <v>281</v>
      </c>
      <c r="C89" s="53">
        <f>Cdep.soil5_0+Csludge.soil.5_0</f>
        <v>0.22715265649262711</v>
      </c>
      <c r="D89" s="40" t="s">
        <v>236</v>
      </c>
      <c r="E89" s="55"/>
      <c r="F89" s="55"/>
      <c r="G89" s="55"/>
      <c r="H89" s="40" t="s">
        <v>90</v>
      </c>
    </row>
    <row r="90" spans="1:8" s="187" customFormat="1" ht="16.8">
      <c r="A90" s="122" t="s">
        <v>411</v>
      </c>
      <c r="B90" s="82" t="s">
        <v>61</v>
      </c>
      <c r="C90" s="123">
        <f>Dair/k.soil-Dair/k.soil*EXP(-365*10*k.soil)</f>
        <v>9.8061560880179979E-6</v>
      </c>
      <c r="D90" s="82" t="s">
        <v>89</v>
      </c>
      <c r="E90" s="84"/>
      <c r="F90" s="84"/>
      <c r="G90" s="84"/>
      <c r="H90" s="82" t="s">
        <v>89</v>
      </c>
    </row>
    <row r="91" spans="1:8" s="46" customFormat="1" ht="16.8">
      <c r="A91" s="34" t="s">
        <v>282</v>
      </c>
      <c r="B91" s="25" t="s">
        <v>283</v>
      </c>
      <c r="C91" s="69">
        <f>Dair/k.soil-Dair/k.soil*EXP(-365*5*k.soil)</f>
        <v>9.8061560880179979E-6</v>
      </c>
      <c r="D91" s="25" t="s">
        <v>89</v>
      </c>
      <c r="E91" s="35"/>
      <c r="F91" s="35"/>
      <c r="G91" s="35"/>
      <c r="H91" s="25" t="s">
        <v>89</v>
      </c>
    </row>
    <row r="92" spans="1:8" s="46" customFormat="1" ht="16.8">
      <c r="A92" s="34" t="s">
        <v>62</v>
      </c>
      <c r="B92" s="25" t="s">
        <v>237</v>
      </c>
      <c r="C92" s="38">
        <f>Csludge*APPLsludge/(DEPTHsoil*RHOsoil)</f>
        <v>0.22714284875942348</v>
      </c>
      <c r="D92" s="25" t="s">
        <v>89</v>
      </c>
      <c r="E92" s="35"/>
      <c r="F92" s="35"/>
      <c r="G92" s="35"/>
      <c r="H92" s="25" t="s">
        <v>89</v>
      </c>
    </row>
    <row r="93" spans="1:8" s="187" customFormat="1" ht="16.8">
      <c r="A93" s="122" t="s">
        <v>63</v>
      </c>
      <c r="B93" s="82" t="s">
        <v>64</v>
      </c>
      <c r="C93" s="128">
        <f>Csludge.soil.1_0*(1+POWER(Facc,1)+POWER(Facc,2)+POWER(Facc,3)+POWER(Facc,4)+POWER(Facc,5)+POWER(Facc,6)+POWER(Facc,7)+POWER(Facc,8)+POWER(Facc,9))</f>
        <v>0.22714285033653911</v>
      </c>
      <c r="D93" s="82" t="s">
        <v>89</v>
      </c>
      <c r="E93" s="85"/>
      <c r="F93" s="85"/>
      <c r="G93" s="85"/>
      <c r="H93" s="82" t="s">
        <v>89</v>
      </c>
    </row>
    <row r="94" spans="1:8" s="46" customFormat="1" ht="16.8">
      <c r="A94" s="34" t="s">
        <v>284</v>
      </c>
      <c r="B94" s="25" t="s">
        <v>285</v>
      </c>
      <c r="C94" s="38">
        <f>Csludge.soil.1_0*(1+POWER(Facc,1)+POWER(Facc,2)+POWER(Facc,3)+POWER(Facc,4))</f>
        <v>0.22714285033653911</v>
      </c>
      <c r="D94" s="25" t="s">
        <v>89</v>
      </c>
      <c r="E94" s="43"/>
      <c r="F94" s="43"/>
      <c r="G94" s="43"/>
      <c r="H94" s="25" t="s">
        <v>89</v>
      </c>
    </row>
    <row r="95" spans="1:8" s="46" customFormat="1" ht="14.4">
      <c r="A95" s="34" t="s">
        <v>412</v>
      </c>
      <c r="B95" s="25" t="s">
        <v>30</v>
      </c>
      <c r="C95" s="38">
        <f>EXP(-365*k.soil)</f>
        <v>6.9432766300717229E-9</v>
      </c>
      <c r="D95" s="25" t="s">
        <v>31</v>
      </c>
      <c r="E95" s="43"/>
      <c r="F95" s="43"/>
      <c r="G95" s="43"/>
      <c r="H95" s="25" t="s">
        <v>31</v>
      </c>
    </row>
    <row r="96" spans="1:8" s="46" customFormat="1" ht="16.8">
      <c r="A96" s="42" t="s">
        <v>413</v>
      </c>
      <c r="B96" s="49" t="s">
        <v>196</v>
      </c>
      <c r="C96" s="54">
        <f>F96</f>
        <v>0.11571008519228169</v>
      </c>
      <c r="D96" s="50" t="s">
        <v>67</v>
      </c>
      <c r="E96" s="67"/>
      <c r="F96" s="54">
        <f>Dair/k.soil+1/k.soil/Tav.soil*(Csoil5_0-Dair/k.soil)*(1-EXP(-1*k.soil*Tav.soil))</f>
        <v>0.11571008519228169</v>
      </c>
      <c r="G96" s="54">
        <f>Dair/k.soil+1/k.soil/Tav.soil*(Csoil10_0-Dair/k.soil)*(1-EXP(-1*k.soil*Tav.soil))</f>
        <v>0.11571008519228169</v>
      </c>
      <c r="H96" s="50" t="s">
        <v>67</v>
      </c>
    </row>
    <row r="97" spans="1:9" s="46" customFormat="1" ht="16.8">
      <c r="A97" s="42" t="s">
        <v>414</v>
      </c>
      <c r="B97" s="49" t="s">
        <v>197</v>
      </c>
      <c r="C97" s="54">
        <f>Dair/k.soil+1/k.soil/180*(Csoil10_0-Dair/k.soil)*(1-EXP(-1*k.soil*180))</f>
        <v>2.4526149602289153E-2</v>
      </c>
      <c r="D97" s="50" t="s">
        <v>67</v>
      </c>
      <c r="E97" s="67"/>
      <c r="F97" s="67">
        <f>Dair/k.soil+1/k.soil/180*(Csoil5_0-Dair/k.soil)*(1-EXP(-1*k.soil*180))</f>
        <v>2.4526149602289153E-2</v>
      </c>
      <c r="G97" s="67">
        <f>Dair/k.soil+1/k.soil/180*(Csoil10_0-Dair/k.soil)*(1-EXP(-1*k.soil*180))</f>
        <v>2.4526149602289153E-2</v>
      </c>
      <c r="H97" s="50" t="s">
        <v>67</v>
      </c>
    </row>
    <row r="98" spans="1:9" s="46" customFormat="1" ht="14.4">
      <c r="A98" s="34" t="s">
        <v>66</v>
      </c>
      <c r="B98" s="25" t="s">
        <v>150</v>
      </c>
      <c r="C98" s="33">
        <v>30</v>
      </c>
      <c r="D98" s="42" t="s">
        <v>33</v>
      </c>
      <c r="E98" s="3"/>
      <c r="F98" s="3"/>
      <c r="G98" s="3"/>
      <c r="H98" s="42" t="s">
        <v>33</v>
      </c>
    </row>
    <row r="99" spans="1:9" s="46" customFormat="1" ht="13.95" customHeight="1">
      <c r="A99" s="34" t="s">
        <v>415</v>
      </c>
      <c r="B99" s="25" t="s">
        <v>184</v>
      </c>
      <c r="C99" s="54">
        <f>PEClocal.soil_180*RHOsoil/Ksoil_water/1000</f>
        <v>6.5435083196770192E-3</v>
      </c>
      <c r="D99" s="44" t="s">
        <v>416</v>
      </c>
      <c r="E99" s="3"/>
      <c r="F99" s="3"/>
      <c r="G99" s="3"/>
      <c r="H99" s="44" t="s">
        <v>416</v>
      </c>
    </row>
    <row r="100" spans="1:9" s="195" customFormat="1" ht="13.95" customHeight="1">
      <c r="A100" s="139" t="s">
        <v>417</v>
      </c>
      <c r="B100" s="28"/>
      <c r="C100" s="91"/>
      <c r="D100" s="92"/>
      <c r="E100" s="94"/>
      <c r="F100" s="94"/>
      <c r="G100" s="94"/>
      <c r="H100" s="92"/>
    </row>
    <row r="101" spans="1:9" s="46" customFormat="1" ht="13.95" customHeight="1">
      <c r="A101" s="34" t="s">
        <v>418</v>
      </c>
      <c r="B101" s="25" t="s">
        <v>180</v>
      </c>
      <c r="C101" s="54">
        <f>PEClocal.water_ann*BCF.fish</f>
        <v>7.023329059724176E-2</v>
      </c>
      <c r="D101" s="44" t="s">
        <v>419</v>
      </c>
      <c r="E101" s="3"/>
      <c r="F101" s="3"/>
      <c r="G101" s="3"/>
      <c r="H101" s="44" t="s">
        <v>419</v>
      </c>
    </row>
    <row r="102" spans="1:9" s="46" customFormat="1" ht="13.95" customHeight="1">
      <c r="A102" s="34" t="s">
        <v>420</v>
      </c>
      <c r="B102" s="25" t="s">
        <v>458</v>
      </c>
      <c r="C102" s="54">
        <f>0.5*(PEClocal.water_ann+PECreg.water)*BCF.fish*BMF.1</f>
        <v>3.511664529862088E-2</v>
      </c>
      <c r="D102" s="101" t="s">
        <v>419</v>
      </c>
      <c r="E102" s="3"/>
      <c r="F102" s="3"/>
      <c r="G102" s="3"/>
      <c r="H102" s="101" t="s">
        <v>419</v>
      </c>
    </row>
    <row r="103" spans="1:9" s="184" customFormat="1" ht="13.95" customHeight="1">
      <c r="A103" s="324" t="s">
        <v>421</v>
      </c>
      <c r="B103" s="319" t="s">
        <v>459</v>
      </c>
      <c r="C103" s="325">
        <f>0.1*(PEClocal.water_ann+0.9*PECreg.water)*BCF.fish*BMF.1*BMF.2</f>
        <v>7.023329059724177E-3</v>
      </c>
      <c r="D103" s="320" t="s">
        <v>422</v>
      </c>
      <c r="E103" s="183"/>
      <c r="F103" s="183"/>
      <c r="G103" s="183"/>
      <c r="H103" s="320" t="s">
        <v>419</v>
      </c>
    </row>
    <row r="104" spans="1:9" s="46" customFormat="1" ht="13.95" customHeight="1">
      <c r="A104" s="34" t="s">
        <v>423</v>
      </c>
      <c r="B104" s="25" t="s">
        <v>200</v>
      </c>
      <c r="C104" s="54">
        <f>(0.5*(PEClocal.soil_porew+PECreg.soil_porew)*BCF.worm+0.5*(PEClocal.soil_180+PECreg.soil)*Fgut.worm*CONV.soil)/(1+Fgut.worm*CONV.soil)</f>
        <v>2.2654797018043155E-2</v>
      </c>
      <c r="D104" s="101" t="s">
        <v>419</v>
      </c>
      <c r="E104" s="3"/>
      <c r="F104" s="3"/>
      <c r="G104" s="3"/>
      <c r="H104" s="101" t="s">
        <v>419</v>
      </c>
    </row>
    <row r="105" spans="1:9" s="195" customFormat="1" ht="13.95" customHeight="1">
      <c r="A105" s="139" t="s">
        <v>424</v>
      </c>
      <c r="B105" s="28"/>
      <c r="C105" s="91"/>
      <c r="D105" s="102"/>
      <c r="E105" s="129"/>
      <c r="F105" s="129"/>
      <c r="G105" s="129"/>
      <c r="H105" s="102"/>
    </row>
    <row r="106" spans="1:9" s="46" customFormat="1" ht="19.2" customHeight="1">
      <c r="A106" s="42" t="s">
        <v>425</v>
      </c>
      <c r="B106" s="26" t="s">
        <v>259</v>
      </c>
      <c r="C106" s="3">
        <f>IF(E106="",F106,E106)</f>
        <v>0</v>
      </c>
      <c r="D106" s="189" t="s">
        <v>395</v>
      </c>
      <c r="E106" s="3">
        <f>IF(ISBLANK(input!C22)=TRUE,F106,input!C22)</f>
        <v>0</v>
      </c>
      <c r="F106" s="35"/>
      <c r="G106" s="3"/>
      <c r="H106" s="189" t="s">
        <v>392</v>
      </c>
    </row>
    <row r="107" spans="1:9" s="46" customFormat="1" ht="16.8">
      <c r="A107" s="42" t="s">
        <v>426</v>
      </c>
      <c r="B107" s="42" t="s">
        <v>255</v>
      </c>
      <c r="C107" s="3">
        <f t="shared" ref="C107:C108" si="5">IF(E107="",F107,E107)</f>
        <v>0</v>
      </c>
      <c r="D107" s="42" t="s">
        <v>83</v>
      </c>
      <c r="E107" s="3">
        <f>IF(ISBLANK(input!C23)=TRUE,F107,input!C23)</f>
        <v>0</v>
      </c>
      <c r="F107" s="3"/>
      <c r="G107" s="3"/>
      <c r="H107" s="42" t="s">
        <v>83</v>
      </c>
    </row>
    <row r="108" spans="1:9" s="46" customFormat="1" ht="16.8">
      <c r="A108" s="42" t="s">
        <v>427</v>
      </c>
      <c r="B108" s="25" t="s">
        <v>326</v>
      </c>
      <c r="C108" s="3">
        <f t="shared" si="5"/>
        <v>0</v>
      </c>
      <c r="D108" s="44" t="s">
        <v>428</v>
      </c>
      <c r="E108" s="3">
        <f>IF(ISBLANK(input!C24)=TRUE,F108,input!C24)</f>
        <v>0</v>
      </c>
      <c r="F108" s="3"/>
      <c r="G108" s="3"/>
      <c r="H108" s="44" t="s">
        <v>34</v>
      </c>
    </row>
    <row r="109" spans="1:9" s="46" customFormat="1" ht="13.95" customHeight="1">
      <c r="A109" s="42" t="s">
        <v>429</v>
      </c>
      <c r="B109" s="26" t="s">
        <v>205</v>
      </c>
      <c r="C109" s="3">
        <v>0</v>
      </c>
      <c r="D109" s="44" t="s">
        <v>34</v>
      </c>
      <c r="E109" s="3"/>
      <c r="F109" s="3"/>
      <c r="G109" s="3"/>
      <c r="H109" s="44" t="s">
        <v>34</v>
      </c>
      <c r="I109" s="46" t="s">
        <v>502</v>
      </c>
    </row>
    <row r="110" spans="1:9" s="195" customFormat="1" ht="14.4">
      <c r="A110" s="139" t="s">
        <v>430</v>
      </c>
      <c r="B110" s="28"/>
      <c r="C110" s="45"/>
      <c r="D110" s="28"/>
      <c r="E110" s="56"/>
      <c r="F110" s="56"/>
      <c r="G110" s="56"/>
      <c r="H110" s="28"/>
    </row>
    <row r="111" spans="1:9" s="46" customFormat="1" ht="16.8">
      <c r="A111" s="26" t="s">
        <v>431</v>
      </c>
      <c r="B111" s="42" t="s">
        <v>3</v>
      </c>
      <c r="C111" s="43">
        <f>Elocal.water*1000000*Fstp.water/(EFFLUENTstp*1000)</f>
        <v>0.30527421282079337</v>
      </c>
      <c r="D111" s="44" t="s">
        <v>65</v>
      </c>
      <c r="E111" s="43"/>
      <c r="F111" s="43"/>
      <c r="G111" s="43"/>
      <c r="H111" s="44" t="s">
        <v>65</v>
      </c>
    </row>
    <row r="112" spans="1:9" s="46" customFormat="1" ht="16.8">
      <c r="A112" s="26" t="s">
        <v>432</v>
      </c>
      <c r="B112" s="42" t="s">
        <v>256</v>
      </c>
      <c r="C112" s="43">
        <f>Clocal.water+Clocal.directwater+PECreg.water</f>
        <v>3.0518036985706241E-2</v>
      </c>
      <c r="D112" s="44" t="s">
        <v>65</v>
      </c>
      <c r="E112" s="43"/>
      <c r="F112" s="43"/>
      <c r="G112" s="43"/>
      <c r="H112" s="44" t="s">
        <v>65</v>
      </c>
    </row>
    <row r="113" spans="1:8" s="46" customFormat="1" ht="16.8">
      <c r="A113" s="26" t="s">
        <v>433</v>
      </c>
      <c r="B113" s="116" t="s">
        <v>260</v>
      </c>
      <c r="C113" s="43">
        <f>PEClocal.water*Temission/365</f>
        <v>1.6722212046962324E-3</v>
      </c>
      <c r="D113" s="44" t="s">
        <v>65</v>
      </c>
      <c r="E113" s="43"/>
      <c r="F113" s="43"/>
      <c r="G113" s="43"/>
      <c r="H113" s="44" t="s">
        <v>65</v>
      </c>
    </row>
    <row r="114" spans="1:8" s="46" customFormat="1" ht="14.4">
      <c r="A114" s="26" t="s">
        <v>434</v>
      </c>
      <c r="B114" s="47" t="s">
        <v>80</v>
      </c>
      <c r="C114" s="43">
        <f>Ksusp_water*PEClocal.water*1000*CONV.sed/RHOsusp</f>
        <v>0.41570873859225077</v>
      </c>
      <c r="D114" s="47" t="s">
        <v>7</v>
      </c>
      <c r="E114" s="48"/>
      <c r="F114" s="48"/>
      <c r="G114" s="115">
        <f>Ksusp_water*PEClocal.water*1000*4.6/RHOsusp</f>
        <v>0.73548469135552053</v>
      </c>
      <c r="H114" s="47" t="s">
        <v>7</v>
      </c>
    </row>
    <row r="115" spans="1:8" s="46" customFormat="1" ht="16.8">
      <c r="A115" s="26" t="s">
        <v>435</v>
      </c>
      <c r="B115" s="49" t="s">
        <v>198</v>
      </c>
      <c r="C115" s="54">
        <f>(Clocal.soil_30+PECreg.soil)*CONV.soil</f>
        <v>0.13115815296601924</v>
      </c>
      <c r="D115" s="50" t="s">
        <v>67</v>
      </c>
      <c r="E115" s="54"/>
      <c r="F115" s="54"/>
      <c r="G115" s="54"/>
      <c r="H115" s="50" t="s">
        <v>67</v>
      </c>
    </row>
    <row r="116" spans="1:8" s="46" customFormat="1" ht="16.8">
      <c r="A116" s="26" t="s">
        <v>436</v>
      </c>
      <c r="B116" s="49" t="s">
        <v>199</v>
      </c>
      <c r="C116" s="54">
        <f>(Clocal.soil_180+PECreg.soil)</f>
        <v>2.4526149602289153E-2</v>
      </c>
      <c r="D116" s="50" t="s">
        <v>437</v>
      </c>
      <c r="E116" s="54"/>
      <c r="F116" s="54"/>
      <c r="G116" s="54"/>
      <c r="H116" s="50" t="s">
        <v>437</v>
      </c>
    </row>
    <row r="117" spans="1:8" s="46" customFormat="1" ht="16.8">
      <c r="A117" s="26" t="s">
        <v>438</v>
      </c>
      <c r="B117" s="26" t="s">
        <v>261</v>
      </c>
      <c r="C117" s="54">
        <f>PEClocal.soil_porew</f>
        <v>6.5435083196770192E-3</v>
      </c>
      <c r="D117" s="44" t="s">
        <v>65</v>
      </c>
      <c r="E117" s="54"/>
      <c r="F117" s="54"/>
      <c r="G117" s="54"/>
      <c r="H117" s="44" t="s">
        <v>511</v>
      </c>
    </row>
    <row r="118" spans="1:8" s="195" customFormat="1" ht="14.4">
      <c r="A118" s="196" t="s">
        <v>439</v>
      </c>
      <c r="B118" s="135"/>
      <c r="C118" s="95"/>
      <c r="D118" s="96"/>
      <c r="E118" s="95"/>
      <c r="F118" s="95"/>
      <c r="G118" s="95"/>
      <c r="H118" s="96"/>
    </row>
    <row r="119" spans="1:8" s="198" customFormat="1" ht="14.4">
      <c r="A119" s="312" t="s">
        <v>513</v>
      </c>
      <c r="B119" s="118" t="s">
        <v>506</v>
      </c>
      <c r="C119" s="214">
        <f t="shared" ref="C119:C120" si="6">IF(E119="",F119,E119)</f>
        <v>1</v>
      </c>
      <c r="D119" s="311" t="s">
        <v>510</v>
      </c>
      <c r="E119" s="214">
        <v>1</v>
      </c>
      <c r="F119" s="214">
        <f>MAX(IF(LOG(Kow)&lt;=4,1,IF(LOG(Kow)&gt;5,1/16,1/4))*IF(HENRY&lt;=100,1,1/2)*1,IF(LOG(Kow)&lt;=4,1,IF(LOG(Kow)&gt;5,1/4,1/2))*IF(HENRY&lt;=100,1,1/2)*IF((LN(2)/kbio.fresh)&lt;=10,1/4,1))</f>
        <v>0.5</v>
      </c>
      <c r="G119" s="214"/>
      <c r="H119" s="311" t="s">
        <v>510</v>
      </c>
    </row>
    <row r="120" spans="1:8" s="198" customFormat="1" ht="16.8">
      <c r="A120" s="312" t="s">
        <v>514</v>
      </c>
      <c r="B120" s="118" t="s">
        <v>515</v>
      </c>
      <c r="C120" s="214">
        <f t="shared" si="6"/>
        <v>6.5435083196770192E-3</v>
      </c>
      <c r="D120" s="311" t="s">
        <v>512</v>
      </c>
      <c r="E120" s="214"/>
      <c r="F120" s="214">
        <f>MAX(PEClocal.water_ann*F.pur,PEClocal.grw)</f>
        <v>6.5435083196770192E-3</v>
      </c>
      <c r="G120" s="214"/>
      <c r="H120" s="311" t="s">
        <v>512</v>
      </c>
    </row>
    <row r="121" spans="1:8" s="198" customFormat="1" ht="16.8">
      <c r="A121" s="197" t="s">
        <v>440</v>
      </c>
      <c r="B121" s="117" t="s">
        <v>257</v>
      </c>
      <c r="C121" s="93">
        <f>PEClocal.air_ann*IRair*ET*EF*ED/(BW*AT)</f>
        <v>3.2664717211447171E-5</v>
      </c>
      <c r="D121" s="97" t="s">
        <v>173</v>
      </c>
      <c r="E121" s="93"/>
      <c r="F121" s="93"/>
      <c r="G121" s="93"/>
      <c r="H121" s="97" t="s">
        <v>173</v>
      </c>
    </row>
    <row r="122" spans="1:8" s="198" customFormat="1" ht="16.8">
      <c r="A122" s="178" t="s">
        <v>441</v>
      </c>
      <c r="B122" s="118" t="s">
        <v>183</v>
      </c>
      <c r="C122" s="93">
        <f>PEClocal.soil_180*IRs*(0.000001)*EF*ED/(BW*AT)</f>
        <v>2.0236097031591706E-8</v>
      </c>
      <c r="D122" s="97" t="s">
        <v>173</v>
      </c>
      <c r="E122" s="93"/>
      <c r="F122" s="93"/>
      <c r="G122" s="93"/>
      <c r="H122" s="97" t="s">
        <v>173</v>
      </c>
    </row>
    <row r="123" spans="1:8" s="198" customFormat="1" ht="16.8">
      <c r="A123" s="178" t="s">
        <v>442</v>
      </c>
      <c r="B123" s="118" t="s">
        <v>481</v>
      </c>
      <c r="C123" s="93">
        <f>Cfish*IRfish*EF*ED/(BW*AT)</f>
        <v>3.4768955741208787E-5</v>
      </c>
      <c r="D123" s="98" t="s">
        <v>173</v>
      </c>
      <c r="E123" s="93"/>
      <c r="F123" s="93"/>
      <c r="G123" s="93"/>
      <c r="H123" s="98" t="s">
        <v>173</v>
      </c>
    </row>
    <row r="124" spans="1:8" s="198" customFormat="1" ht="16.8">
      <c r="A124" s="199" t="s">
        <v>443</v>
      </c>
      <c r="B124" s="119" t="s">
        <v>258</v>
      </c>
      <c r="C124" s="93">
        <f>PEC.drwL*IRwater*EF*ED/(BW*AT)</f>
        <v>1.9976056751489253E-4</v>
      </c>
      <c r="D124" s="98" t="s">
        <v>173</v>
      </c>
      <c r="E124" s="93"/>
      <c r="F124" s="93"/>
      <c r="G124" s="93"/>
      <c r="H124" s="98" t="s">
        <v>173</v>
      </c>
    </row>
    <row r="125" spans="1:8" s="198" customFormat="1" ht="16.8">
      <c r="A125" s="200" t="s">
        <v>444</v>
      </c>
      <c r="B125" s="120" t="s">
        <v>182</v>
      </c>
      <c r="C125" s="99">
        <f>ADDinh+ADDoral_fish+ADDoral_water</f>
        <v>2.6719424046754849E-4</v>
      </c>
      <c r="D125" s="98" t="s">
        <v>173</v>
      </c>
      <c r="E125" s="99"/>
      <c r="F125" s="99"/>
      <c r="G125" s="99"/>
      <c r="H125" s="98" t="s">
        <v>173</v>
      </c>
    </row>
    <row r="130" spans="1:2" ht="14.4">
      <c r="A130" s="300"/>
      <c r="B130" s="337" t="s">
        <v>562</v>
      </c>
    </row>
    <row r="131" spans="1:2" ht="14.4">
      <c r="A131" s="338"/>
      <c r="B131" s="337" t="s">
        <v>563</v>
      </c>
    </row>
  </sheetData>
  <phoneticPr fontId="4" type="noConversion"/>
  <dataValidations count="2">
    <dataValidation type="list" allowBlank="1" showInputMessage="1" showErrorMessage="1" sqref="E14:F14">
      <formula1>"快速生物降解, 快速生物降解试验28d通过但未通过10d观察期, 28d快速生物降解率≥20%或固有降解率≥70%, 固有生物降解率为20%~70%, 不可生物降解"</formula1>
    </dataValidation>
    <dataValidation type="list" allowBlank="1" showInputMessage="1" showErrorMessage="1" sqref="F3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2" sqref="L22"/>
    </sheetView>
  </sheetViews>
  <sheetFormatPr defaultRowHeight="14.4"/>
  <cols>
    <col min="1" max="1" width="27.77734375" customWidth="1"/>
    <col min="2" max="2" width="15.21875" style="121" customWidth="1"/>
    <col min="3" max="3" width="12.5546875" customWidth="1"/>
    <col min="4" max="4" width="13.88671875" customWidth="1"/>
    <col min="5" max="6" width="10.77734375" customWidth="1"/>
    <col min="7" max="7" width="10.88671875" bestFit="1" customWidth="1"/>
    <col min="8" max="8" width="13.88671875" customWidth="1"/>
  </cols>
  <sheetData>
    <row r="1" spans="1:9" s="20" customFormat="1">
      <c r="A1" s="17" t="s">
        <v>0</v>
      </c>
      <c r="B1" s="18" t="s">
        <v>240</v>
      </c>
      <c r="C1" s="51" t="s">
        <v>39</v>
      </c>
      <c r="D1" s="18" t="s">
        <v>1</v>
      </c>
      <c r="E1" s="19" t="s">
        <v>235</v>
      </c>
      <c r="F1" s="19" t="s">
        <v>291</v>
      </c>
      <c r="G1" s="51" t="s">
        <v>292</v>
      </c>
      <c r="H1" s="18" t="s">
        <v>1</v>
      </c>
    </row>
    <row r="2" spans="1:9" s="7" customFormat="1">
      <c r="A2" s="22" t="s">
        <v>120</v>
      </c>
      <c r="B2" s="13"/>
      <c r="C2" s="52"/>
      <c r="D2" s="13"/>
      <c r="E2" s="21"/>
      <c r="F2" s="21"/>
      <c r="G2" s="14"/>
      <c r="H2" s="13"/>
    </row>
    <row r="3" spans="1:9" s="27" customFormat="1" ht="18">
      <c r="A3" s="36" t="s">
        <v>20</v>
      </c>
      <c r="B3" s="25" t="s">
        <v>262</v>
      </c>
      <c r="C3" s="147">
        <f>IF(E3="",F3,E3)</f>
        <v>2500</v>
      </c>
      <c r="D3" s="107" t="s">
        <v>212</v>
      </c>
      <c r="E3" s="37">
        <f>F3</f>
        <v>2500</v>
      </c>
      <c r="F3" s="37">
        <v>2500</v>
      </c>
      <c r="G3" s="37">
        <v>2500</v>
      </c>
      <c r="H3" s="107" t="s">
        <v>212</v>
      </c>
      <c r="I3" s="57" t="s">
        <v>86</v>
      </c>
    </row>
    <row r="4" spans="1:9" s="27" customFormat="1" ht="18">
      <c r="A4" s="36" t="s">
        <v>117</v>
      </c>
      <c r="B4" s="25" t="s">
        <v>263</v>
      </c>
      <c r="C4" s="147">
        <f>IF(E4="",F4,E4)</f>
        <v>1000</v>
      </c>
      <c r="D4" s="107" t="s">
        <v>213</v>
      </c>
      <c r="E4" s="37">
        <f t="shared" ref="E4:E8" si="0">F4</f>
        <v>1000</v>
      </c>
      <c r="F4" s="37">
        <v>1000</v>
      </c>
      <c r="G4" s="37">
        <v>1000</v>
      </c>
      <c r="H4" s="107" t="s">
        <v>213</v>
      </c>
      <c r="I4" s="57" t="s">
        <v>76</v>
      </c>
    </row>
    <row r="5" spans="1:9" s="27" customFormat="1" ht="18">
      <c r="A5" s="36" t="s">
        <v>118</v>
      </c>
      <c r="B5" s="25" t="s">
        <v>264</v>
      </c>
      <c r="C5" s="147">
        <f>IF(E5="",F5,E5)</f>
        <v>1.3</v>
      </c>
      <c r="D5" s="107" t="s">
        <v>214</v>
      </c>
      <c r="E5" s="37">
        <f t="shared" si="0"/>
        <v>1.3</v>
      </c>
      <c r="F5" s="37">
        <v>1.3</v>
      </c>
      <c r="G5" s="37">
        <v>1.3</v>
      </c>
      <c r="H5" s="107" t="s">
        <v>214</v>
      </c>
      <c r="I5" s="57" t="s">
        <v>76</v>
      </c>
    </row>
    <row r="6" spans="1:9" s="27" customFormat="1">
      <c r="A6" s="36" t="s">
        <v>93</v>
      </c>
      <c r="B6" s="25" t="s">
        <v>11</v>
      </c>
      <c r="C6" s="133">
        <f>IF(E6="",F6+273,E6+273)</f>
        <v>283</v>
      </c>
      <c r="D6" s="107" t="s">
        <v>12</v>
      </c>
      <c r="E6" s="37">
        <v>10</v>
      </c>
      <c r="F6" s="37">
        <v>16</v>
      </c>
      <c r="G6" s="37">
        <v>12</v>
      </c>
      <c r="H6" s="113" t="s">
        <v>234</v>
      </c>
      <c r="I6" s="57" t="s">
        <v>86</v>
      </c>
    </row>
    <row r="7" spans="1:9" s="27" customFormat="1" ht="18.600000000000001">
      <c r="A7" s="36" t="s">
        <v>543</v>
      </c>
      <c r="B7" s="25" t="s">
        <v>545</v>
      </c>
      <c r="C7" s="147">
        <f>IF(E7="",F7,E7)</f>
        <v>2</v>
      </c>
      <c r="D7" s="327" t="s">
        <v>544</v>
      </c>
      <c r="E7" s="37">
        <v>2</v>
      </c>
      <c r="F7" s="37">
        <v>2</v>
      </c>
      <c r="G7" s="37"/>
      <c r="H7" s="327" t="s">
        <v>544</v>
      </c>
      <c r="I7" s="57" t="s">
        <v>76</v>
      </c>
    </row>
    <row r="8" spans="1:9" s="27" customFormat="1" ht="18">
      <c r="A8" s="36" t="s">
        <v>10</v>
      </c>
      <c r="B8" s="40" t="s">
        <v>211</v>
      </c>
      <c r="C8" s="132">
        <f>IF(E8="",G8/1000/365,E8/1000/365)</f>
        <v>1.8465753424657535E-3</v>
      </c>
      <c r="D8" s="107" t="s">
        <v>215</v>
      </c>
      <c r="E8" s="37">
        <f t="shared" si="0"/>
        <v>674</v>
      </c>
      <c r="F8" s="136">
        <v>674</v>
      </c>
      <c r="G8" s="136">
        <v>700</v>
      </c>
      <c r="H8" s="107" t="s">
        <v>232</v>
      </c>
      <c r="I8" s="27" t="s">
        <v>79</v>
      </c>
    </row>
    <row r="9" spans="1:9" s="74" customFormat="1">
      <c r="A9" s="9" t="s">
        <v>102</v>
      </c>
      <c r="B9" s="70"/>
      <c r="C9" s="72"/>
      <c r="D9" s="70"/>
      <c r="E9" s="73"/>
      <c r="F9" s="73"/>
      <c r="G9" s="73"/>
      <c r="H9" s="70"/>
    </row>
    <row r="10" spans="1:9" s="27" customFormat="1" ht="16.8">
      <c r="A10" s="36" t="s">
        <v>503</v>
      </c>
      <c r="B10" s="25" t="s">
        <v>243</v>
      </c>
      <c r="C10" s="114">
        <f>IF(E10="",F10,E10)</f>
        <v>2000</v>
      </c>
      <c r="D10" s="25" t="s">
        <v>13</v>
      </c>
      <c r="E10" s="37">
        <f>F10</f>
        <v>2000</v>
      </c>
      <c r="F10" s="37">
        <v>2000</v>
      </c>
      <c r="G10" s="37">
        <v>2000</v>
      </c>
      <c r="H10" s="25" t="s">
        <v>13</v>
      </c>
      <c r="I10" s="57" t="s">
        <v>86</v>
      </c>
    </row>
    <row r="11" spans="1:9" s="27" customFormat="1">
      <c r="A11" s="36" t="s">
        <v>142</v>
      </c>
      <c r="B11" s="25" t="s">
        <v>252</v>
      </c>
      <c r="C11" s="43">
        <f>IF(E11="",F11,E11)</f>
        <v>13793.103448275862</v>
      </c>
      <c r="D11" s="25" t="s">
        <v>16</v>
      </c>
      <c r="E11" s="136">
        <f t="shared" ref="E11:E14" si="1">F11</f>
        <v>13793.103448275862</v>
      </c>
      <c r="F11" s="136">
        <f>EFFLUENTstp/暴露参数!F12</f>
        <v>13793.103448275862</v>
      </c>
      <c r="G11" s="37">
        <v>10000</v>
      </c>
      <c r="H11" s="25" t="s">
        <v>16</v>
      </c>
    </row>
    <row r="12" spans="1:9" s="27" customFormat="1" ht="16.8">
      <c r="A12" s="36" t="s">
        <v>140</v>
      </c>
      <c r="B12" s="25" t="s">
        <v>141</v>
      </c>
      <c r="C12" s="43">
        <f>IF(E12="",F12,E12)</f>
        <v>0.14499999999999999</v>
      </c>
      <c r="D12" s="25" t="s">
        <v>294</v>
      </c>
      <c r="E12" s="37">
        <f t="shared" si="1"/>
        <v>0.14499999999999999</v>
      </c>
      <c r="F12" s="37">
        <v>0.14499999999999999</v>
      </c>
      <c r="G12" s="37">
        <v>0.2</v>
      </c>
      <c r="H12" s="25" t="s">
        <v>294</v>
      </c>
    </row>
    <row r="13" spans="1:9" s="27" customFormat="1" ht="16.8">
      <c r="A13" s="36" t="s">
        <v>14</v>
      </c>
      <c r="B13" s="25" t="s">
        <v>250</v>
      </c>
      <c r="C13" s="43">
        <f>IF(E13="",F13,E13)</f>
        <v>0.2</v>
      </c>
      <c r="D13" s="25" t="s">
        <v>88</v>
      </c>
      <c r="E13" s="37">
        <f t="shared" si="1"/>
        <v>0.2</v>
      </c>
      <c r="F13" s="37">
        <v>0.2</v>
      </c>
      <c r="G13" s="37">
        <v>0.45</v>
      </c>
      <c r="H13" s="25" t="s">
        <v>88</v>
      </c>
    </row>
    <row r="14" spans="1:9" s="27" customFormat="1" ht="21" customHeight="1">
      <c r="A14" s="36" t="s">
        <v>15</v>
      </c>
      <c r="B14" s="25" t="s">
        <v>251</v>
      </c>
      <c r="C14" s="43">
        <f>IF(E14="",F14,E14)</f>
        <v>232.20658823783958</v>
      </c>
      <c r="D14" s="25" t="s">
        <v>295</v>
      </c>
      <c r="E14" s="136">
        <f t="shared" si="1"/>
        <v>232.20658823783958</v>
      </c>
      <c r="F14" s="136">
        <f>[1]!Surplus_sludge</f>
        <v>232.20658823783958</v>
      </c>
      <c r="G14" s="37">
        <f>0.019*10000</f>
        <v>190</v>
      </c>
      <c r="H14" s="25" t="s">
        <v>295</v>
      </c>
    </row>
    <row r="15" spans="1:9" s="74" customFormat="1">
      <c r="A15" s="9" t="s">
        <v>122</v>
      </c>
      <c r="B15" s="70"/>
      <c r="C15" s="72"/>
      <c r="D15" s="70"/>
      <c r="E15" s="73"/>
      <c r="F15" s="73"/>
      <c r="G15" s="73"/>
      <c r="H15" s="70"/>
    </row>
    <row r="16" spans="1:9" s="46" customFormat="1" ht="16.8">
      <c r="A16" s="34" t="s">
        <v>2</v>
      </c>
      <c r="B16" s="47" t="s">
        <v>35</v>
      </c>
      <c r="C16" s="114">
        <f>IF(E16="",F16,E16)</f>
        <v>18000</v>
      </c>
      <c r="D16" s="47" t="s">
        <v>85</v>
      </c>
      <c r="E16" s="48">
        <f>F16</f>
        <v>18000</v>
      </c>
      <c r="F16" s="48">
        <v>18000</v>
      </c>
      <c r="G16" s="48">
        <v>18000</v>
      </c>
      <c r="H16" s="47" t="s">
        <v>85</v>
      </c>
      <c r="I16" s="57" t="s">
        <v>86</v>
      </c>
    </row>
    <row r="17" spans="1:9" s="27" customFormat="1" ht="16.8">
      <c r="A17" s="58" t="s">
        <v>121</v>
      </c>
      <c r="B17" s="42" t="s">
        <v>265</v>
      </c>
      <c r="C17" s="3">
        <f>G17</f>
        <v>15</v>
      </c>
      <c r="D17" s="101" t="s">
        <v>216</v>
      </c>
      <c r="E17" s="48">
        <f t="shared" ref="E17" si="2">F17</f>
        <v>15</v>
      </c>
      <c r="F17" s="3">
        <v>15</v>
      </c>
      <c r="G17" s="3">
        <v>15</v>
      </c>
      <c r="H17" s="101" t="s">
        <v>216</v>
      </c>
      <c r="I17" s="57" t="s">
        <v>86</v>
      </c>
    </row>
    <row r="18" spans="1:9" s="74" customFormat="1">
      <c r="A18" s="15" t="s">
        <v>123</v>
      </c>
      <c r="B18" s="16"/>
      <c r="C18" s="16"/>
      <c r="D18" s="16"/>
      <c r="E18" s="16"/>
      <c r="F18" s="16"/>
      <c r="G18" s="16"/>
      <c r="H18" s="16"/>
      <c r="I18" s="71"/>
    </row>
    <row r="19" spans="1:9" s="46" customFormat="1" ht="16.8">
      <c r="A19" s="65" t="s">
        <v>124</v>
      </c>
      <c r="B19" s="25" t="s">
        <v>266</v>
      </c>
      <c r="C19" s="146">
        <f t="shared" ref="C19:C35" si="3">IF(E19="",F19,E19)</f>
        <v>0.1</v>
      </c>
      <c r="D19" s="66" t="s">
        <v>207</v>
      </c>
      <c r="E19" s="33">
        <f>F19</f>
        <v>0.1</v>
      </c>
      <c r="F19" s="33">
        <v>0.1</v>
      </c>
      <c r="G19" s="33">
        <v>0.1</v>
      </c>
      <c r="H19" s="66" t="s">
        <v>207</v>
      </c>
      <c r="I19" s="57" t="s">
        <v>86</v>
      </c>
    </row>
    <row r="20" spans="1:9" s="46" customFormat="1" ht="16.8">
      <c r="A20" s="65" t="s">
        <v>125</v>
      </c>
      <c r="B20" s="25" t="s">
        <v>267</v>
      </c>
      <c r="C20" s="146">
        <f t="shared" si="3"/>
        <v>0.9</v>
      </c>
      <c r="D20" s="66" t="s">
        <v>207</v>
      </c>
      <c r="E20" s="33">
        <f t="shared" ref="E20:E21" si="4">F20</f>
        <v>0.9</v>
      </c>
      <c r="F20" s="33">
        <v>0.9</v>
      </c>
      <c r="G20" s="33">
        <v>0.9</v>
      </c>
      <c r="H20" s="66" t="s">
        <v>207</v>
      </c>
      <c r="I20" s="57" t="s">
        <v>86</v>
      </c>
    </row>
    <row r="21" spans="1:9" s="46" customFormat="1" ht="16.8">
      <c r="A21" s="65" t="s">
        <v>126</v>
      </c>
      <c r="B21" s="25" t="s">
        <v>268</v>
      </c>
      <c r="C21" s="146">
        <f t="shared" si="3"/>
        <v>0.1</v>
      </c>
      <c r="D21" s="66" t="s">
        <v>208</v>
      </c>
      <c r="E21" s="33">
        <f t="shared" si="4"/>
        <v>0.1</v>
      </c>
      <c r="F21" s="33">
        <v>0.1</v>
      </c>
      <c r="G21" s="33">
        <v>0.1</v>
      </c>
      <c r="H21" s="66" t="s">
        <v>208</v>
      </c>
      <c r="I21" s="57" t="s">
        <v>86</v>
      </c>
    </row>
    <row r="22" spans="1:9" s="46" customFormat="1" ht="18">
      <c r="A22" s="65" t="s">
        <v>540</v>
      </c>
      <c r="B22" s="25" t="s">
        <v>269</v>
      </c>
      <c r="C22" s="147">
        <f t="shared" si="3"/>
        <v>1150</v>
      </c>
      <c r="D22" s="66" t="s">
        <v>209</v>
      </c>
      <c r="E22" s="33">
        <f>(Fsolid.susp*RHOsolid+Fwater.susp*RHOwater)</f>
        <v>1150</v>
      </c>
      <c r="G22" s="33"/>
      <c r="H22" s="66" t="s">
        <v>209</v>
      </c>
      <c r="I22" s="57"/>
    </row>
    <row r="23" spans="1:9" s="8" customFormat="1">
      <c r="A23" s="23" t="s">
        <v>101</v>
      </c>
      <c r="B23" s="10"/>
      <c r="C23" s="16"/>
      <c r="D23" s="24"/>
      <c r="E23" s="10"/>
      <c r="F23" s="10"/>
      <c r="G23" s="10"/>
      <c r="H23" s="24"/>
      <c r="I23" s="71"/>
    </row>
    <row r="24" spans="1:9" s="46" customFormat="1" ht="18">
      <c r="A24" s="65" t="s">
        <v>37</v>
      </c>
      <c r="B24" s="25" t="s">
        <v>270</v>
      </c>
      <c r="C24" s="146">
        <f t="shared" si="3"/>
        <v>0.2</v>
      </c>
      <c r="D24" s="107" t="s">
        <v>217</v>
      </c>
      <c r="E24" s="33">
        <f>G24</f>
        <v>0.2</v>
      </c>
      <c r="F24" s="33">
        <v>0.2</v>
      </c>
      <c r="G24" s="33">
        <v>0.2</v>
      </c>
      <c r="H24" s="107" t="s">
        <v>217</v>
      </c>
      <c r="I24" s="57" t="s">
        <v>86</v>
      </c>
    </row>
    <row r="25" spans="1:9" s="46" customFormat="1" ht="18">
      <c r="A25" s="32" t="s">
        <v>119</v>
      </c>
      <c r="B25" s="42" t="s">
        <v>116</v>
      </c>
      <c r="C25" s="146">
        <f t="shared" si="3"/>
        <v>0.8</v>
      </c>
      <c r="D25" s="107" t="s">
        <v>218</v>
      </c>
      <c r="E25" s="33">
        <f>G25</f>
        <v>0.8</v>
      </c>
      <c r="F25" s="3">
        <v>0.8</v>
      </c>
      <c r="G25" s="3">
        <v>0.8</v>
      </c>
      <c r="H25" s="107" t="s">
        <v>218</v>
      </c>
      <c r="I25" s="57" t="s">
        <v>76</v>
      </c>
    </row>
    <row r="26" spans="1:9" s="46" customFormat="1" ht="18">
      <c r="A26" s="65" t="s">
        <v>127</v>
      </c>
      <c r="B26" s="25" t="s">
        <v>271</v>
      </c>
      <c r="C26" s="146">
        <f t="shared" si="3"/>
        <v>1300</v>
      </c>
      <c r="D26" s="66" t="s">
        <v>209</v>
      </c>
      <c r="E26" s="33">
        <f>(Fsolid.sed*RHOsolid+Fwater.sed*RHOwater)</f>
        <v>1300</v>
      </c>
      <c r="G26" s="33"/>
      <c r="H26" s="66" t="s">
        <v>209</v>
      </c>
      <c r="I26" s="57"/>
    </row>
    <row r="27" spans="1:9" s="27" customFormat="1" ht="18">
      <c r="A27" s="36" t="s">
        <v>42</v>
      </c>
      <c r="B27" s="42" t="s">
        <v>40</v>
      </c>
      <c r="C27" s="148">
        <f t="shared" si="3"/>
        <v>0.05</v>
      </c>
      <c r="D27" s="107" t="s">
        <v>219</v>
      </c>
      <c r="E27" s="3">
        <f>F27</f>
        <v>0.05</v>
      </c>
      <c r="F27" s="3">
        <v>0.05</v>
      </c>
      <c r="G27" s="3">
        <v>0.05</v>
      </c>
      <c r="H27" s="107" t="s">
        <v>219</v>
      </c>
      <c r="I27" s="57" t="s">
        <v>86</v>
      </c>
    </row>
    <row r="28" spans="1:9" s="27" customFormat="1" ht="18">
      <c r="A28" s="36" t="s">
        <v>115</v>
      </c>
      <c r="B28" s="25" t="s">
        <v>113</v>
      </c>
      <c r="C28" s="148">
        <f t="shared" si="3"/>
        <v>2.6</v>
      </c>
      <c r="D28" s="25" t="s">
        <v>210</v>
      </c>
      <c r="E28" s="43">
        <f>RHO.sed/(Fsolid.sed*RHOsolid)</f>
        <v>2.6</v>
      </c>
      <c r="G28" s="43"/>
      <c r="H28" s="25" t="s">
        <v>210</v>
      </c>
    </row>
    <row r="29" spans="1:9" s="74" customFormat="1">
      <c r="A29" s="9" t="s">
        <v>128</v>
      </c>
      <c r="B29" s="16"/>
      <c r="C29" s="16"/>
      <c r="D29" s="24"/>
      <c r="E29" s="16"/>
      <c r="F29" s="16"/>
      <c r="G29" s="16"/>
      <c r="H29" s="24"/>
      <c r="I29" s="71"/>
    </row>
    <row r="30" spans="1:9" s="27" customFormat="1" ht="16.8">
      <c r="A30" s="36" t="s">
        <v>18</v>
      </c>
      <c r="B30" s="25" t="s">
        <v>272</v>
      </c>
      <c r="C30" s="148">
        <f t="shared" si="3"/>
        <v>1700.26</v>
      </c>
      <c r="D30" s="25" t="s">
        <v>239</v>
      </c>
      <c r="E30" s="37">
        <f>(Fsolid.soil*RHOsolid+Fwater.soil*RHOwater+Fair.soil*RHOair)</f>
        <v>1700.26</v>
      </c>
      <c r="F30" s="37"/>
      <c r="G30" s="37"/>
      <c r="H30" s="25" t="s">
        <v>19</v>
      </c>
      <c r="I30" s="57"/>
    </row>
    <row r="31" spans="1:9" s="27" customFormat="1" ht="18">
      <c r="A31" s="110" t="s">
        <v>220</v>
      </c>
      <c r="B31" s="25" t="s">
        <v>273</v>
      </c>
      <c r="C31" s="148">
        <f t="shared" si="3"/>
        <v>0.6</v>
      </c>
      <c r="D31" s="107" t="s">
        <v>224</v>
      </c>
      <c r="E31" s="37">
        <f>G31</f>
        <v>0.6</v>
      </c>
      <c r="F31" s="37">
        <v>0.6</v>
      </c>
      <c r="G31" s="37">
        <v>0.6</v>
      </c>
      <c r="H31" s="107" t="s">
        <v>224</v>
      </c>
      <c r="I31" s="57" t="s">
        <v>86</v>
      </c>
    </row>
    <row r="32" spans="1:9" s="27" customFormat="1" ht="18">
      <c r="A32" s="110" t="s">
        <v>221</v>
      </c>
      <c r="B32" s="25" t="s">
        <v>274</v>
      </c>
      <c r="C32" s="148">
        <f t="shared" si="3"/>
        <v>0.2</v>
      </c>
      <c r="D32" s="107" t="s">
        <v>225</v>
      </c>
      <c r="E32" s="37">
        <f t="shared" ref="E32:E34" si="5">G32</f>
        <v>0.2</v>
      </c>
      <c r="F32" s="37">
        <v>0.2</v>
      </c>
      <c r="G32" s="37">
        <v>0.2</v>
      </c>
      <c r="H32" s="107" t="s">
        <v>225</v>
      </c>
      <c r="I32" s="57" t="s">
        <v>86</v>
      </c>
    </row>
    <row r="33" spans="1:9" s="27" customFormat="1" ht="18">
      <c r="A33" s="110" t="s">
        <v>222</v>
      </c>
      <c r="B33" s="25" t="s">
        <v>275</v>
      </c>
      <c r="C33" s="148">
        <f t="shared" si="3"/>
        <v>0.2</v>
      </c>
      <c r="D33" s="107" t="s">
        <v>226</v>
      </c>
      <c r="E33" s="37">
        <f t="shared" si="5"/>
        <v>0.2</v>
      </c>
      <c r="F33" s="37">
        <v>0.2</v>
      </c>
      <c r="G33" s="37">
        <v>0.2</v>
      </c>
      <c r="H33" s="107" t="s">
        <v>226</v>
      </c>
      <c r="I33" s="57" t="s">
        <v>86</v>
      </c>
    </row>
    <row r="34" spans="1:9" s="27" customFormat="1" ht="18">
      <c r="A34" s="110" t="s">
        <v>223</v>
      </c>
      <c r="B34" s="25" t="s">
        <v>276</v>
      </c>
      <c r="C34" s="148">
        <f t="shared" si="3"/>
        <v>0.02</v>
      </c>
      <c r="D34" s="107" t="s">
        <v>219</v>
      </c>
      <c r="E34" s="37">
        <f t="shared" si="5"/>
        <v>0.02</v>
      </c>
      <c r="F34" s="37">
        <v>0.02</v>
      </c>
      <c r="G34" s="37">
        <v>0.02</v>
      </c>
      <c r="H34" s="107" t="s">
        <v>219</v>
      </c>
      <c r="I34" s="57" t="s">
        <v>86</v>
      </c>
    </row>
    <row r="35" spans="1:9" s="27" customFormat="1" ht="18">
      <c r="A35" s="36" t="s">
        <v>114</v>
      </c>
      <c r="B35" s="25" t="s">
        <v>112</v>
      </c>
      <c r="C35" s="148">
        <f t="shared" si="3"/>
        <v>1.1335066666666667</v>
      </c>
      <c r="D35" s="25" t="s">
        <v>206</v>
      </c>
      <c r="E35" s="43">
        <f>RHOsoil/(Fsolid.soil*RHOsolid)</f>
        <v>1.1335066666666667</v>
      </c>
      <c r="G35" s="43"/>
      <c r="H35" s="25" t="s">
        <v>206</v>
      </c>
    </row>
    <row r="36" spans="1:9" s="27" customFormat="1">
      <c r="A36" s="36" t="s">
        <v>8</v>
      </c>
      <c r="B36" s="25" t="s">
        <v>277</v>
      </c>
      <c r="C36" s="148">
        <f>IF(E36="",F36,E36)</f>
        <v>0.2</v>
      </c>
      <c r="D36" s="25" t="s">
        <v>9</v>
      </c>
      <c r="E36" s="37">
        <f>F36</f>
        <v>0.2</v>
      </c>
      <c r="F36" s="37">
        <v>0.2</v>
      </c>
      <c r="G36" s="37">
        <v>0.2</v>
      </c>
      <c r="H36" s="25" t="s">
        <v>9</v>
      </c>
      <c r="I36" s="57" t="s">
        <v>76</v>
      </c>
    </row>
    <row r="37" spans="1:9" s="27" customFormat="1" ht="16.8">
      <c r="A37" s="36" t="s">
        <v>129</v>
      </c>
      <c r="B37" s="40" t="s">
        <v>278</v>
      </c>
      <c r="C37" s="59">
        <f>IF(E37="",F37,E37)</f>
        <v>0.75</v>
      </c>
      <c r="D37" s="25" t="s">
        <v>238</v>
      </c>
      <c r="E37" s="59">
        <f>F37</f>
        <v>0.75</v>
      </c>
      <c r="F37" s="59">
        <v>0.75</v>
      </c>
      <c r="G37" s="41">
        <v>0.5</v>
      </c>
      <c r="H37" s="25" t="s">
        <v>238</v>
      </c>
      <c r="I37" s="57" t="s">
        <v>76</v>
      </c>
    </row>
    <row r="38" spans="1:9" s="74" customFormat="1">
      <c r="A38" s="9" t="s">
        <v>192</v>
      </c>
      <c r="B38" s="70"/>
      <c r="C38" s="70"/>
      <c r="D38" s="10"/>
      <c r="E38" s="24"/>
      <c r="F38" s="24"/>
      <c r="G38" s="24"/>
      <c r="H38" s="10"/>
    </row>
    <row r="39" spans="1:9" s="27" customFormat="1" ht="16.8">
      <c r="A39" s="256" t="s">
        <v>193</v>
      </c>
      <c r="B39" s="101" t="s">
        <v>279</v>
      </c>
      <c r="C39" s="59">
        <f>IF(E39="",F39,E39)</f>
        <v>1</v>
      </c>
      <c r="D39" s="101" t="s">
        <v>194</v>
      </c>
      <c r="E39" s="37"/>
      <c r="F39" s="41">
        <v>1</v>
      </c>
      <c r="G39" s="37"/>
      <c r="H39" s="101" t="s">
        <v>194</v>
      </c>
    </row>
    <row r="40" spans="1:9" s="27" customFormat="1" ht="16.8">
      <c r="A40" s="256" t="s">
        <v>201</v>
      </c>
      <c r="B40" s="101" t="s">
        <v>203</v>
      </c>
      <c r="C40" s="59">
        <f>IF(E40="",F40,E40)</f>
        <v>0.1</v>
      </c>
      <c r="D40" s="101" t="s">
        <v>541</v>
      </c>
      <c r="E40" s="37"/>
      <c r="F40" s="41">
        <v>0.1</v>
      </c>
      <c r="G40" s="37"/>
      <c r="H40" s="101" t="s">
        <v>202</v>
      </c>
    </row>
    <row r="41" spans="1:9" s="6" customFormat="1">
      <c r="A41" s="248" t="s">
        <v>482</v>
      </c>
      <c r="B41" s="249"/>
      <c r="C41" s="250"/>
      <c r="D41" s="249"/>
      <c r="E41" s="251"/>
      <c r="F41" s="251"/>
      <c r="G41" s="251"/>
      <c r="H41" s="249"/>
    </row>
    <row r="42" spans="1:9" s="106" customFormat="1" ht="16.8">
      <c r="A42" s="257" t="s">
        <v>151</v>
      </c>
      <c r="B42" s="108" t="s">
        <v>177</v>
      </c>
      <c r="C42" s="104">
        <f t="shared" ref="C42:C47" si="6">IF(E42="",F42,E42)</f>
        <v>0.65</v>
      </c>
      <c r="D42" s="108" t="s">
        <v>165</v>
      </c>
      <c r="E42" s="104"/>
      <c r="F42" s="108">
        <v>0.65</v>
      </c>
      <c r="G42" s="104"/>
      <c r="H42" s="108" t="s">
        <v>165</v>
      </c>
      <c r="I42" s="57" t="s">
        <v>76</v>
      </c>
    </row>
    <row r="43" spans="1:9" s="106" customFormat="1" ht="16.8">
      <c r="A43" s="257" t="s">
        <v>152</v>
      </c>
      <c r="B43" s="108" t="s">
        <v>153</v>
      </c>
      <c r="C43" s="104">
        <f t="shared" si="6"/>
        <v>24</v>
      </c>
      <c r="D43" s="108" t="s">
        <v>166</v>
      </c>
      <c r="E43" s="104"/>
      <c r="F43" s="108">
        <v>24</v>
      </c>
      <c r="G43" s="104"/>
      <c r="H43" s="108" t="s">
        <v>166</v>
      </c>
      <c r="I43" s="57" t="s">
        <v>76</v>
      </c>
    </row>
    <row r="44" spans="1:9" s="106" customFormat="1" ht="15.6">
      <c r="A44" s="257" t="s">
        <v>154</v>
      </c>
      <c r="B44" s="108" t="s">
        <v>155</v>
      </c>
      <c r="C44" s="104">
        <f t="shared" si="6"/>
        <v>365</v>
      </c>
      <c r="D44" s="108" t="s">
        <v>167</v>
      </c>
      <c r="E44" s="104"/>
      <c r="F44" s="108">
        <v>365</v>
      </c>
      <c r="G44" s="104"/>
      <c r="H44" s="108" t="s">
        <v>167</v>
      </c>
      <c r="I44" s="57" t="s">
        <v>76</v>
      </c>
    </row>
    <row r="45" spans="1:9" s="106" customFormat="1">
      <c r="A45" s="257" t="s">
        <v>156</v>
      </c>
      <c r="B45" s="108" t="s">
        <v>157</v>
      </c>
      <c r="C45" s="104">
        <f t="shared" si="6"/>
        <v>70</v>
      </c>
      <c r="D45" s="108" t="s">
        <v>168</v>
      </c>
      <c r="E45" s="104"/>
      <c r="F45" s="108">
        <v>70</v>
      </c>
      <c r="G45" s="104"/>
      <c r="H45" s="108" t="s">
        <v>168</v>
      </c>
      <c r="I45" s="57" t="s">
        <v>76</v>
      </c>
    </row>
    <row r="46" spans="1:9" s="106" customFormat="1">
      <c r="A46" s="257" t="s">
        <v>158</v>
      </c>
      <c r="B46" s="108" t="s">
        <v>159</v>
      </c>
      <c r="C46" s="104">
        <f t="shared" si="6"/>
        <v>60.6</v>
      </c>
      <c r="D46" s="108" t="s">
        <v>169</v>
      </c>
      <c r="E46" s="104"/>
      <c r="F46" s="109">
        <v>60.6</v>
      </c>
      <c r="G46" s="104"/>
      <c r="H46" s="108" t="s">
        <v>169</v>
      </c>
      <c r="I46" s="57" t="s">
        <v>76</v>
      </c>
    </row>
    <row r="47" spans="1:9" s="106" customFormat="1">
      <c r="A47" s="257" t="s">
        <v>160</v>
      </c>
      <c r="B47" s="108" t="s">
        <v>161</v>
      </c>
      <c r="C47" s="104">
        <f t="shared" si="6"/>
        <v>25550</v>
      </c>
      <c r="D47" s="108" t="s">
        <v>170</v>
      </c>
      <c r="E47" s="104"/>
      <c r="F47" s="108">
        <f>70*365</f>
        <v>25550</v>
      </c>
      <c r="G47" s="104"/>
      <c r="H47" s="108" t="s">
        <v>170</v>
      </c>
      <c r="I47" s="57" t="s">
        <v>76</v>
      </c>
    </row>
    <row r="48" spans="1:9" s="106" customFormat="1" ht="16.8">
      <c r="A48" s="257" t="s">
        <v>162</v>
      </c>
      <c r="B48" s="108" t="s">
        <v>179</v>
      </c>
      <c r="C48" s="104">
        <f>IF(E48="",F48/1000,E48/1000)</f>
        <v>0.03</v>
      </c>
      <c r="D48" s="108" t="s">
        <v>181</v>
      </c>
      <c r="E48" s="104"/>
      <c r="F48" s="108">
        <v>30</v>
      </c>
      <c r="G48" s="104"/>
      <c r="H48" s="108" t="s">
        <v>293</v>
      </c>
      <c r="I48" s="57" t="s">
        <v>76</v>
      </c>
    </row>
    <row r="49" spans="1:9" s="106" customFormat="1" ht="16.8">
      <c r="A49" s="257" t="s">
        <v>163</v>
      </c>
      <c r="B49" s="108" t="s">
        <v>461</v>
      </c>
      <c r="C49" s="104">
        <f>IF(E49="",F49,E49)</f>
        <v>1.85</v>
      </c>
      <c r="D49" s="108" t="s">
        <v>171</v>
      </c>
      <c r="E49" s="104"/>
      <c r="F49" s="109">
        <v>1.85</v>
      </c>
      <c r="G49" s="104"/>
      <c r="H49" s="108" t="s">
        <v>171</v>
      </c>
      <c r="I49" s="57" t="s">
        <v>76</v>
      </c>
    </row>
    <row r="50" spans="1:9" s="106" customFormat="1" ht="16.8">
      <c r="A50" s="257" t="s">
        <v>164</v>
      </c>
      <c r="B50" s="108" t="s">
        <v>280</v>
      </c>
      <c r="C50" s="104">
        <f>IF(E50="",F50,E50)</f>
        <v>50</v>
      </c>
      <c r="D50" s="108" t="s">
        <v>172</v>
      </c>
      <c r="E50" s="104"/>
      <c r="F50" s="108">
        <v>50</v>
      </c>
      <c r="G50" s="104"/>
      <c r="H50" s="108" t="s">
        <v>172</v>
      </c>
      <c r="I50" s="57" t="s">
        <v>76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1"/>
  <sheetViews>
    <sheetView zoomScale="130" zoomScaleNormal="130" workbookViewId="0">
      <selection activeCell="A18" sqref="A18"/>
    </sheetView>
  </sheetViews>
  <sheetFormatPr defaultRowHeight="14.4"/>
  <cols>
    <col min="1" max="1" width="45.77734375" customWidth="1"/>
    <col min="2" max="2" width="17.6640625" style="121" customWidth="1"/>
    <col min="3" max="3" width="13.77734375" customWidth="1"/>
    <col min="4" max="4" width="15.6640625" customWidth="1"/>
    <col min="5" max="5" width="12.77734375" customWidth="1"/>
  </cols>
  <sheetData>
    <row r="1" spans="1:5" s="306" customFormat="1" ht="17.399999999999999" customHeight="1">
      <c r="A1" s="308" t="s">
        <v>499</v>
      </c>
      <c r="B1" s="307"/>
    </row>
    <row r="2" spans="1:5" s="145" customFormat="1" ht="15" thickBot="1">
      <c r="A2" s="140" t="s">
        <v>290</v>
      </c>
      <c r="B2" s="141" t="s">
        <v>300</v>
      </c>
      <c r="C2" s="142" t="s">
        <v>39</v>
      </c>
      <c r="D2" s="143" t="s">
        <v>488</v>
      </c>
      <c r="E2" s="144" t="s">
        <v>131</v>
      </c>
    </row>
    <row r="3" spans="1:5" s="151" customFormat="1" ht="16.8">
      <c r="A3" s="272" t="s">
        <v>132</v>
      </c>
      <c r="B3" s="273" t="s">
        <v>72</v>
      </c>
      <c r="C3" s="166">
        <v>33000</v>
      </c>
      <c r="D3" s="274">
        <v>33000</v>
      </c>
      <c r="E3" s="275" t="s">
        <v>144</v>
      </c>
    </row>
    <row r="4" spans="1:5" s="137" customFormat="1">
      <c r="A4" s="285" t="s">
        <v>133</v>
      </c>
      <c r="B4" s="152" t="s">
        <v>495</v>
      </c>
      <c r="C4" s="153">
        <v>0.1</v>
      </c>
      <c r="D4" s="292">
        <v>0.1</v>
      </c>
      <c r="E4" s="277" t="s">
        <v>135</v>
      </c>
    </row>
    <row r="5" spans="1:5" s="137" customFormat="1">
      <c r="A5" s="285" t="s">
        <v>497</v>
      </c>
      <c r="B5" s="152" t="s">
        <v>496</v>
      </c>
      <c r="C5" s="153">
        <v>5.0000000000000001E-4</v>
      </c>
      <c r="D5" s="292">
        <v>5.0000000000000001E-4</v>
      </c>
      <c r="E5" s="277"/>
    </row>
    <row r="6" spans="1:5" s="137" customFormat="1" ht="15">
      <c r="A6" s="287" t="s">
        <v>134</v>
      </c>
      <c r="B6" s="80" t="s">
        <v>305</v>
      </c>
      <c r="C6" s="153">
        <v>4</v>
      </c>
      <c r="D6" s="292">
        <v>4</v>
      </c>
      <c r="E6" s="286" t="s">
        <v>136</v>
      </c>
    </row>
    <row r="7" spans="1:5" s="137" customFormat="1">
      <c r="A7" s="276" t="s">
        <v>137</v>
      </c>
      <c r="B7" s="80" t="s">
        <v>301</v>
      </c>
      <c r="C7" s="153">
        <v>0.06</v>
      </c>
      <c r="D7" s="292">
        <v>0.06</v>
      </c>
      <c r="E7" s="277" t="s">
        <v>135</v>
      </c>
    </row>
    <row r="8" spans="1:5" s="137" customFormat="1" ht="16.8">
      <c r="A8" s="276" t="s">
        <v>139</v>
      </c>
      <c r="B8" s="80" t="s">
        <v>493</v>
      </c>
      <c r="C8" s="153">
        <v>365</v>
      </c>
      <c r="D8" s="292">
        <v>20</v>
      </c>
      <c r="E8" s="278" t="s">
        <v>138</v>
      </c>
    </row>
    <row r="9" spans="1:5" s="137" customFormat="1">
      <c r="A9" s="288" t="s">
        <v>489</v>
      </c>
      <c r="B9" s="289" t="s">
        <v>468</v>
      </c>
      <c r="C9" s="295">
        <v>0.5</v>
      </c>
      <c r="D9" s="293">
        <v>0.5</v>
      </c>
      <c r="E9" s="290"/>
    </row>
    <row r="10" spans="1:5" s="138" customFormat="1" ht="17.399999999999999" thickBot="1">
      <c r="A10" s="281" t="s">
        <v>490</v>
      </c>
      <c r="B10" s="282" t="s">
        <v>466</v>
      </c>
      <c r="C10" s="291">
        <f>C3*C4*C5*C6*C7*C9/C8</f>
        <v>5.4246575342465752E-4</v>
      </c>
      <c r="D10" s="294">
        <v>5.4246575342465752E-4</v>
      </c>
      <c r="E10" s="284" t="s">
        <v>143</v>
      </c>
    </row>
    <row r="11" spans="1:5" s="138" customFormat="1" ht="17.399999999999999" thickBot="1">
      <c r="A11" s="281" t="s">
        <v>491</v>
      </c>
      <c r="B11" s="282" t="s">
        <v>246</v>
      </c>
      <c r="C11" s="291">
        <f>C3*C4*C5*C6*C7*(1-C9)/C8</f>
        <v>5.4246575342465752E-4</v>
      </c>
      <c r="D11" s="294">
        <v>5.4246575342465752E-4</v>
      </c>
      <c r="E11" s="284" t="s">
        <v>143</v>
      </c>
    </row>
    <row r="12" spans="1:5" ht="15" thickBot="1"/>
    <row r="13" spans="1:5" s="137" customFormat="1" ht="16.8">
      <c r="A13" s="272" t="s">
        <v>132</v>
      </c>
      <c r="B13" s="273" t="s">
        <v>72</v>
      </c>
      <c r="C13" s="166">
        <v>999990</v>
      </c>
      <c r="D13" s="274">
        <v>3333</v>
      </c>
      <c r="E13" s="275" t="s">
        <v>144</v>
      </c>
    </row>
    <row r="14" spans="1:5" s="137" customFormat="1">
      <c r="A14" s="276" t="s">
        <v>145</v>
      </c>
      <c r="B14" s="80" t="s">
        <v>494</v>
      </c>
      <c r="C14" s="153">
        <v>1</v>
      </c>
      <c r="D14" s="79">
        <v>1</v>
      </c>
      <c r="E14" s="277" t="s">
        <v>135</v>
      </c>
    </row>
    <row r="15" spans="1:5" s="137" customFormat="1">
      <c r="A15" s="276" t="s">
        <v>137</v>
      </c>
      <c r="B15" s="80" t="s">
        <v>492</v>
      </c>
      <c r="C15" s="153">
        <v>0.06</v>
      </c>
      <c r="D15" s="79">
        <v>0.06</v>
      </c>
      <c r="E15" s="277" t="s">
        <v>135</v>
      </c>
    </row>
    <row r="16" spans="1:5" s="137" customFormat="1">
      <c r="A16" s="276" t="s">
        <v>296</v>
      </c>
      <c r="B16" s="80" t="s">
        <v>303</v>
      </c>
      <c r="C16" s="153">
        <v>0.05</v>
      </c>
      <c r="D16" s="79">
        <v>0.05</v>
      </c>
      <c r="E16" s="277" t="s">
        <v>135</v>
      </c>
    </row>
    <row r="17" spans="1:5" s="137" customFormat="1">
      <c r="A17" s="276" t="s">
        <v>297</v>
      </c>
      <c r="B17" s="78" t="s">
        <v>306</v>
      </c>
      <c r="C17" s="153">
        <v>0</v>
      </c>
      <c r="D17" s="79">
        <v>0</v>
      </c>
      <c r="E17" s="277" t="s">
        <v>135</v>
      </c>
    </row>
    <row r="18" spans="1:5" s="137" customFormat="1">
      <c r="A18" s="276" t="s">
        <v>298</v>
      </c>
      <c r="B18" s="78" t="s">
        <v>248</v>
      </c>
      <c r="C18" s="153">
        <v>0</v>
      </c>
      <c r="D18" s="79">
        <v>0</v>
      </c>
      <c r="E18" s="277" t="s">
        <v>135</v>
      </c>
    </row>
    <row r="19" spans="1:5" s="137" customFormat="1" ht="16.8">
      <c r="A19" s="276" t="s">
        <v>139</v>
      </c>
      <c r="B19" s="80" t="s">
        <v>302</v>
      </c>
      <c r="C19" s="153">
        <v>300</v>
      </c>
      <c r="D19" s="79">
        <v>20</v>
      </c>
      <c r="E19" s="278" t="s">
        <v>138</v>
      </c>
    </row>
    <row r="20" spans="1:5" s="138" customFormat="1" ht="16.8">
      <c r="A20" s="279" t="s">
        <v>146</v>
      </c>
      <c r="B20" s="81" t="s">
        <v>304</v>
      </c>
      <c r="C20" s="255">
        <f>C13*C14*C15*(1-C17)/C19</f>
        <v>199.99799999999999</v>
      </c>
      <c r="D20" s="255">
        <v>9.9989999999999988</v>
      </c>
      <c r="E20" s="280" t="s">
        <v>143</v>
      </c>
    </row>
    <row r="21" spans="1:5" s="138" customFormat="1" ht="17.399999999999999" thickBot="1">
      <c r="A21" s="281" t="s">
        <v>147</v>
      </c>
      <c r="B21" s="282" t="s">
        <v>299</v>
      </c>
      <c r="C21" s="283">
        <f>C13*C14*C16*(1-C18)/C19</f>
        <v>166.66499999999999</v>
      </c>
      <c r="D21" s="283">
        <v>8.3324999999999996</v>
      </c>
      <c r="E21" s="284" t="s">
        <v>143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152</vt:i4>
      </vt:variant>
    </vt:vector>
  </HeadingPairs>
  <TitlesOfParts>
    <vt:vector size="157" baseType="lpstr">
      <vt:lpstr>input</vt:lpstr>
      <vt:lpstr>output</vt:lpstr>
      <vt:lpstr>暴露浓度</vt:lpstr>
      <vt:lpstr>暴露参数</vt:lpstr>
      <vt:lpstr>排放率（暂时未使用）</vt:lpstr>
      <vt:lpstr>ADDinh</vt:lpstr>
      <vt:lpstr>ADDoral_fish</vt:lpstr>
      <vt:lpstr>ADDoral_soil</vt:lpstr>
      <vt:lpstr>ADDoral_water</vt:lpstr>
      <vt:lpstr>ADDT</vt:lpstr>
      <vt:lpstr>APPLsludge</vt:lpstr>
      <vt:lpstr>AT</vt:lpstr>
      <vt:lpstr>BCF.fish</vt:lpstr>
      <vt:lpstr>BCF.worm</vt:lpstr>
      <vt:lpstr>Biodeg</vt:lpstr>
      <vt:lpstr>BMF.1</vt:lpstr>
      <vt:lpstr>BMF.2</vt:lpstr>
      <vt:lpstr>BW</vt:lpstr>
      <vt:lpstr>CAPACITYstp</vt:lpstr>
      <vt:lpstr>Cdep.soil10_0</vt:lpstr>
      <vt:lpstr>Cdep.soil5_0</vt:lpstr>
      <vt:lpstr>Cfish</vt:lpstr>
      <vt:lpstr>Clocal.directwater</vt:lpstr>
      <vt:lpstr>Clocal.soil_180</vt:lpstr>
      <vt:lpstr>Clocal.soil_30</vt:lpstr>
      <vt:lpstr>Clocal.water</vt:lpstr>
      <vt:lpstr>CONjunge</vt:lpstr>
      <vt:lpstr>CONV.sed</vt:lpstr>
      <vt:lpstr>CONV.soil</vt:lpstr>
      <vt:lpstr>CorrVolat.s</vt:lpstr>
      <vt:lpstr>Csludge</vt:lpstr>
      <vt:lpstr>Csludge.soil.1_0</vt:lpstr>
      <vt:lpstr>Csludge.soil.10_0</vt:lpstr>
      <vt:lpstr>Csludge.soil.5_0</vt:lpstr>
      <vt:lpstr>Csoil10_0</vt:lpstr>
      <vt:lpstr>Csoil5_0</vt:lpstr>
      <vt:lpstr>Cstd.air</vt:lpstr>
      <vt:lpstr>Dair</vt:lpstr>
      <vt:lpstr>Deff.s1R</vt:lpstr>
      <vt:lpstr>Deff_soil</vt:lpstr>
      <vt:lpstr>DEPstd.aer</vt:lpstr>
      <vt:lpstr>DEPstd.gas</vt:lpstr>
      <vt:lpstr>DEPTHsoil</vt:lpstr>
      <vt:lpstr>DEPtotal</vt:lpstr>
      <vt:lpstr>DEPtotal.ann</vt:lpstr>
      <vt:lpstr>dp</vt:lpstr>
      <vt:lpstr>ED</vt:lpstr>
      <vt:lpstr>EF</vt:lpstr>
      <vt:lpstr>EFFLUENTstp</vt:lpstr>
      <vt:lpstr>Elocal.air</vt:lpstr>
      <vt:lpstr>Elocal.directwater</vt:lpstr>
      <vt:lpstr>Elocal.soil</vt:lpstr>
      <vt:lpstr>Elocal.water</vt:lpstr>
      <vt:lpstr>ElocalSTP.air</vt:lpstr>
      <vt:lpstr>ET</vt:lpstr>
      <vt:lpstr>F.directwater</vt:lpstr>
      <vt:lpstr>F.pur</vt:lpstr>
      <vt:lpstr>Fabatement.air</vt:lpstr>
      <vt:lpstr>Fabatement.Soil</vt:lpstr>
      <vt:lpstr>Fabatement.Water</vt:lpstr>
      <vt:lpstr>Facc</vt:lpstr>
      <vt:lpstr>Fair.soil</vt:lpstr>
      <vt:lpstr>Fass.aer</vt:lpstr>
      <vt:lpstr>Fass_aer</vt:lpstr>
      <vt:lpstr>Femisssion.air</vt:lpstr>
      <vt:lpstr>Femisssion.soil</vt:lpstr>
      <vt:lpstr>Femisssion.water</vt:lpstr>
      <vt:lpstr>Fgut.worm</vt:lpstr>
      <vt:lpstr>Finf.soil</vt:lpstr>
      <vt:lpstr>FLOW</vt:lpstr>
      <vt:lpstr>Fmainsource</vt:lpstr>
      <vt:lpstr>Foc.sed</vt:lpstr>
      <vt:lpstr>Foc.soil</vt:lpstr>
      <vt:lpstr>Foc.susp</vt:lpstr>
      <vt:lpstr>Fsolid.sed</vt:lpstr>
      <vt:lpstr>Fsolid.soil</vt:lpstr>
      <vt:lpstr>Fsolid.susp</vt:lpstr>
      <vt:lpstr>Fstp.air</vt:lpstr>
      <vt:lpstr>Fstp.sludge</vt:lpstr>
      <vt:lpstr>Fstp.water</vt:lpstr>
      <vt:lpstr>Fwater.sed</vt:lpstr>
      <vt:lpstr>Fwater.soil</vt:lpstr>
      <vt:lpstr>Fwater.susp</vt:lpstr>
      <vt:lpstr>HENRY</vt:lpstr>
      <vt:lpstr>IR</vt:lpstr>
      <vt:lpstr>IRair</vt:lpstr>
      <vt:lpstr>IRfish</vt:lpstr>
      <vt:lpstr>IRs</vt:lpstr>
      <vt:lpstr>IRwater</vt:lpstr>
      <vt:lpstr>k.soil</vt:lpstr>
      <vt:lpstr>Kair_water</vt:lpstr>
      <vt:lpstr>kasl.air</vt:lpstr>
      <vt:lpstr>kasl.soil</vt:lpstr>
      <vt:lpstr>kbio.fresh</vt:lpstr>
      <vt:lpstr>kbio.soil</vt:lpstr>
      <vt:lpstr>kbio.stp</vt:lpstr>
      <vt:lpstr>kdeg.stp</vt:lpstr>
      <vt:lpstr>khydr.water</vt:lpstr>
      <vt:lpstr>kleach</vt:lpstr>
      <vt:lpstr>Koc</vt:lpstr>
      <vt:lpstr>Kow</vt:lpstr>
      <vt:lpstr>Kp.sed</vt:lpstr>
      <vt:lpstr>Kp.soil</vt:lpstr>
      <vt:lpstr>Kp.susp</vt:lpstr>
      <vt:lpstr>Ksed_water</vt:lpstr>
      <vt:lpstr>Ksoil_water</vt:lpstr>
      <vt:lpstr>Ksusp_water</vt:lpstr>
      <vt:lpstr>kvolat</vt:lpstr>
      <vt:lpstr>MOLW</vt:lpstr>
      <vt:lpstr>PEC.drwL</vt:lpstr>
      <vt:lpstr>PECaqu_predator</vt:lpstr>
      <vt:lpstr>PECaqu_toppredator</vt:lpstr>
      <vt:lpstr>PEClocal.air_ann</vt:lpstr>
      <vt:lpstr>PEClocal.grw</vt:lpstr>
      <vt:lpstr>PEClocal.sed</vt:lpstr>
      <vt:lpstr>PEClocal.soil_180</vt:lpstr>
      <vt:lpstr>PEClocal.soil_30</vt:lpstr>
      <vt:lpstr>PEClocal.soil_porew</vt:lpstr>
      <vt:lpstr>PEClocal.water</vt:lpstr>
      <vt:lpstr>PEClocal.water_ann</vt:lpstr>
      <vt:lpstr>PECreg.air</vt:lpstr>
      <vt:lpstr>PECreg.soil</vt:lpstr>
      <vt:lpstr>PECreg.soil_porew</vt:lpstr>
      <vt:lpstr>PECreg.water</vt:lpstr>
      <vt:lpstr>PECstp</vt:lpstr>
      <vt:lpstr>PECter_predator</vt:lpstr>
      <vt:lpstr>Qchemical</vt:lpstr>
      <vt:lpstr>RAINrate</vt:lpstr>
      <vt:lpstr>RHO.sed</vt:lpstr>
      <vt:lpstr>RHOair</vt:lpstr>
      <vt:lpstr>RHOsoil</vt:lpstr>
      <vt:lpstr>RHOsolid</vt:lpstr>
      <vt:lpstr>RHOsusp</vt:lpstr>
      <vt:lpstr>RHOwater</vt:lpstr>
      <vt:lpstr>RHOworm</vt:lpstr>
      <vt:lpstr>Sewage_flow</vt:lpstr>
      <vt:lpstr>SLUDGErate</vt:lpstr>
      <vt:lpstr>Sol</vt:lpstr>
      <vt:lpstr>Sol.TempTest</vt:lpstr>
      <vt:lpstr>Solid</vt:lpstr>
      <vt:lpstr>Source.type</vt:lpstr>
      <vt:lpstr>SURF.aer</vt:lpstr>
      <vt:lpstr>SURPLUSsludge</vt:lpstr>
      <vt:lpstr>SUSPCONCinf</vt:lpstr>
      <vt:lpstr>SUSPwater</vt:lpstr>
      <vt:lpstr>Tav.soil</vt:lpstr>
      <vt:lpstr>Temission</vt:lpstr>
      <vt:lpstr>TEMP</vt:lpstr>
      <vt:lpstr>TEMP.SolTest</vt:lpstr>
      <vt:lpstr>TEMP.Vptest</vt:lpstr>
      <vt:lpstr>TEMPmelt</vt:lpstr>
      <vt:lpstr>v.wind</vt:lpstr>
      <vt:lpstr>Veff.s1R</vt:lpstr>
      <vt:lpstr>Veff_soil</vt:lpstr>
      <vt:lpstr>Vp</vt:lpstr>
      <vt:lpstr>Vp.temptest</vt:lpstr>
      <vt:lpstr>VPL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周林军</cp:lastModifiedBy>
  <dcterms:created xsi:type="dcterms:W3CDTF">2019-04-24T08:39:52Z</dcterms:created>
  <dcterms:modified xsi:type="dcterms:W3CDTF">2020-09-17T06:12:54Z</dcterms:modified>
</cp:coreProperties>
</file>