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my_projects\my_projects\外卖订单Excel周报\"/>
    </mc:Choice>
  </mc:AlternateContent>
  <xr:revisionPtr revIDLastSave="0" documentId="13_ncr:1_{BBD96CBF-6C7F-4730-A80A-6000E790861E}" xr6:coauthVersionLast="47" xr6:coauthVersionMax="47" xr10:uidLastSave="{00000000-0000-0000-0000-000000000000}"/>
  <bookViews>
    <workbookView xWindow="-98" yWindow="-98" windowWidth="21795" windowHeight="11625" activeTab="3" xr2:uid="{E2D96F32-8952-49C4-BC6F-0A8812DB624D}"/>
  </bookViews>
  <sheets>
    <sheet name="拌客源数据1-8月" sheetId="2" r:id="rId1"/>
    <sheet name="数据透视图表" sheetId="28" r:id="rId2"/>
    <sheet name="常用函数" sheetId="4" r:id="rId3"/>
    <sheet name="大厂周报" sheetId="16" r:id="rId4"/>
    <sheet name="源数据备份" sheetId="30" state="hidden" r:id="rId5"/>
  </sheets>
  <definedNames>
    <definedName name="_xlnm._FilterDatabase" localSheetId="0" hidden="1">'拌客源数据1-8月'!$A$1:$X$562</definedName>
    <definedName name="_xlnm._FilterDatabase" localSheetId="4" hidden="1">源数据备份!$A$1:$X$562</definedName>
    <definedName name="切片器_平台i1">#N/A</definedName>
  </definedNames>
  <calcPr calcId="191029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6" l="1"/>
  <c r="G7" i="16" s="1"/>
  <c r="D9" i="16"/>
  <c r="C13" i="16"/>
  <c r="H25" i="16" s="1"/>
  <c r="D13" i="16"/>
  <c r="F13" i="16"/>
  <c r="G13" i="16"/>
  <c r="D14" i="16"/>
  <c r="F14" i="16"/>
  <c r="G14" i="16"/>
  <c r="C14" i="16"/>
  <c r="H26" i="16" s="1"/>
  <c r="A25" i="16"/>
  <c r="D25" i="16" s="1"/>
  <c r="B1" i="16"/>
  <c r="B14" i="16"/>
  <c r="B26" i="16" s="1"/>
  <c r="B13" i="16"/>
  <c r="B25" i="16" s="1"/>
  <c r="A15" i="16"/>
  <c r="A16" i="16" s="1"/>
  <c r="A14" i="16"/>
  <c r="A26" i="16" s="1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H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P93" i="4"/>
  <c r="C96" i="4"/>
  <c r="K83" i="4"/>
  <c r="K82" i="4"/>
  <c r="K81" i="4"/>
  <c r="K80" i="4"/>
  <c r="D64" i="4"/>
  <c r="D65" i="4"/>
  <c r="D66" i="4"/>
  <c r="D67" i="4"/>
  <c r="D68" i="4"/>
  <c r="D69" i="4"/>
  <c r="D70" i="4"/>
  <c r="D71" i="4"/>
  <c r="D40" i="4"/>
  <c r="D41" i="4"/>
  <c r="D42" i="4"/>
  <c r="D43" i="4"/>
  <c r="D44" i="4"/>
  <c r="D45" i="4"/>
  <c r="D46" i="4"/>
  <c r="D39" i="4"/>
  <c r="C39" i="4"/>
  <c r="C40" i="4"/>
  <c r="C41" i="4"/>
  <c r="C42" i="4"/>
  <c r="C43" i="4"/>
  <c r="C44" i="4"/>
  <c r="C45" i="4"/>
  <c r="C46" i="4"/>
  <c r="J31" i="4"/>
  <c r="J32" i="4"/>
  <c r="J33" i="4"/>
  <c r="J34" i="4"/>
  <c r="J35" i="4"/>
  <c r="J36" i="4"/>
  <c r="J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I30" i="4"/>
  <c r="H30" i="4"/>
  <c r="G30" i="4"/>
  <c r="F30" i="4"/>
  <c r="C15" i="4"/>
  <c r="C16" i="4"/>
  <c r="C17" i="4"/>
  <c r="C18" i="4"/>
  <c r="C19" i="4"/>
  <c r="C20" i="4"/>
  <c r="C21" i="4"/>
  <c r="D12" i="4"/>
  <c r="E80" i="4"/>
  <c r="H13" i="16" l="1"/>
  <c r="E13" i="16"/>
  <c r="C25" i="16"/>
  <c r="E25" i="16" s="1"/>
  <c r="F25" i="16"/>
  <c r="G25" i="16" s="1"/>
  <c r="E14" i="16"/>
  <c r="H14" i="16"/>
  <c r="C26" i="16"/>
  <c r="D26" i="16"/>
  <c r="F26" i="16"/>
  <c r="A17" i="16"/>
  <c r="A28" i="16"/>
  <c r="B16" i="16"/>
  <c r="B28" i="16" s="1"/>
  <c r="C16" i="16"/>
  <c r="A27" i="16"/>
  <c r="C15" i="16"/>
  <c r="H27" i="16" s="1"/>
  <c r="B15" i="16"/>
  <c r="B27" i="16" s="1"/>
  <c r="D15" i="16"/>
  <c r="F15" i="16"/>
  <c r="G15" i="16"/>
  <c r="G16" i="16"/>
  <c r="F16" i="16"/>
  <c r="D16" i="16"/>
  <c r="G26" i="16" l="1"/>
  <c r="E15" i="16"/>
  <c r="H16" i="16"/>
  <c r="D17" i="16"/>
  <c r="F17" i="16"/>
  <c r="A18" i="16"/>
  <c r="G17" i="16"/>
  <c r="A29" i="16"/>
  <c r="C17" i="16"/>
  <c r="H29" i="16" s="1"/>
  <c r="B17" i="16"/>
  <c r="B29" i="16" s="1"/>
  <c r="E16" i="16"/>
  <c r="E26" i="16"/>
  <c r="H15" i="16"/>
  <c r="C27" i="16"/>
  <c r="D27" i="16"/>
  <c r="F27" i="16"/>
  <c r="H28" i="16"/>
  <c r="C28" i="16"/>
  <c r="D28" i="16"/>
  <c r="F28" i="16"/>
  <c r="E28" i="16" l="1"/>
  <c r="H17" i="16"/>
  <c r="E27" i="16"/>
  <c r="G27" i="16"/>
  <c r="D29" i="16"/>
  <c r="F29" i="16"/>
  <c r="C29" i="16"/>
  <c r="A19" i="16"/>
  <c r="D18" i="16"/>
  <c r="F18" i="16"/>
  <c r="G18" i="16"/>
  <c r="A30" i="16"/>
  <c r="C18" i="16"/>
  <c r="H30" i="16" s="1"/>
  <c r="B18" i="16"/>
  <c r="B30" i="16" s="1"/>
  <c r="E17" i="16"/>
  <c r="G28" i="16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P97" i="4"/>
  <c r="P98" i="4"/>
  <c r="P99" i="4"/>
  <c r="P100" i="4"/>
  <c r="P101" i="4"/>
  <c r="P102" i="4"/>
  <c r="P103" i="4"/>
  <c r="P96" i="4"/>
  <c r="J99" i="4"/>
  <c r="J96" i="4"/>
  <c r="C97" i="4"/>
  <c r="C98" i="4"/>
  <c r="C99" i="4"/>
  <c r="C100" i="4"/>
  <c r="C101" i="4"/>
  <c r="C102" i="4"/>
  <c r="C103" i="4"/>
  <c r="E81" i="4"/>
  <c r="E82" i="4"/>
  <c r="E83" i="4"/>
  <c r="E84" i="4"/>
  <c r="E85" i="4"/>
  <c r="E86" i="4"/>
  <c r="E87" i="4"/>
  <c r="D55" i="4"/>
  <c r="C55" i="4"/>
  <c r="C36" i="4"/>
  <c r="E39" i="4"/>
  <c r="G40" i="4"/>
  <c r="G41" i="4"/>
  <c r="G42" i="4"/>
  <c r="G43" i="4"/>
  <c r="G44" i="4"/>
  <c r="G45" i="4"/>
  <c r="G46" i="4"/>
  <c r="G39" i="4"/>
  <c r="F41" i="4"/>
  <c r="F42" i="4"/>
  <c r="F43" i="4"/>
  <c r="F44" i="4"/>
  <c r="F45" i="4"/>
  <c r="F46" i="4"/>
  <c r="F40" i="4"/>
  <c r="F39" i="4"/>
  <c r="E40" i="4"/>
  <c r="E41" i="4"/>
  <c r="E42" i="4"/>
  <c r="E43" i="4"/>
  <c r="E44" i="4"/>
  <c r="E45" i="4"/>
  <c r="E46" i="4"/>
  <c r="E31" i="4"/>
  <c r="E32" i="4"/>
  <c r="E33" i="4"/>
  <c r="E34" i="4"/>
  <c r="E35" i="4"/>
  <c r="E36" i="4"/>
  <c r="E30" i="4"/>
  <c r="D34" i="4"/>
  <c r="D31" i="4"/>
  <c r="D32" i="4"/>
  <c r="D33" i="4"/>
  <c r="D35" i="4"/>
  <c r="D36" i="4"/>
  <c r="D30" i="4"/>
  <c r="C31" i="4"/>
  <c r="C32" i="4"/>
  <c r="C33" i="4"/>
  <c r="C34" i="4"/>
  <c r="C35" i="4"/>
  <c r="C30" i="4"/>
  <c r="D5" i="4"/>
  <c r="C5" i="4"/>
  <c r="G29" i="16" l="1"/>
  <c r="E29" i="16"/>
  <c r="E18" i="16"/>
  <c r="D19" i="16"/>
  <c r="F19" i="16"/>
  <c r="F20" i="16" s="1"/>
  <c r="A9" i="16" s="1"/>
  <c r="B9" i="16" s="1"/>
  <c r="A31" i="16"/>
  <c r="G19" i="16"/>
  <c r="G20" i="16" s="1"/>
  <c r="D1" i="16"/>
  <c r="C19" i="16"/>
  <c r="B19" i="16"/>
  <c r="B31" i="16" s="1"/>
  <c r="H18" i="16"/>
  <c r="D30" i="16"/>
  <c r="F30" i="16"/>
  <c r="C30" i="16"/>
  <c r="G30" i="16" l="1"/>
  <c r="H19" i="16"/>
  <c r="E30" i="16"/>
  <c r="C20" i="16"/>
  <c r="E19" i="16"/>
  <c r="D20" i="16"/>
  <c r="C9" i="16" s="1"/>
  <c r="D31" i="16"/>
  <c r="D32" i="16" s="1"/>
  <c r="F31" i="16"/>
  <c r="C31" i="16"/>
  <c r="C32" i="16" s="1"/>
  <c r="A6" i="16" s="1"/>
  <c r="H31" i="16"/>
  <c r="E20" i="16" l="1"/>
  <c r="E9" i="16" s="1"/>
  <c r="F9" i="16" s="1"/>
  <c r="G31" i="16"/>
  <c r="F32" i="16"/>
  <c r="G32" i="16" s="1"/>
  <c r="E6" i="16" s="1"/>
  <c r="H20" i="16"/>
  <c r="H32" i="16"/>
  <c r="E32" i="16"/>
  <c r="C6" i="16" s="1"/>
  <c r="E31" i="16"/>
</calcChain>
</file>

<file path=xl/sharedStrings.xml><?xml version="1.0" encoding="utf-8"?>
<sst xmlns="http://schemas.openxmlformats.org/spreadsheetml/2006/main" count="8114" uniqueCount="168">
  <si>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</si>
  <si>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</si>
  <si>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</si>
  <si>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</si>
  <si>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</si>
  <si>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</si>
  <si>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</si>
  <si>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</si>
  <si>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</si>
  <si>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</si>
  <si>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</si>
  <si>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</si>
  <si>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</si>
  <si>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</si>
  <si>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</si>
  <si>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</si>
  <si>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</si>
  <si>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</si>
  <si>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</si>
  <si>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</si>
  <si>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</si>
  <si>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</si>
  <si>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</si>
  <si>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</si>
  <si>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</si>
  <si>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</si>
  <si>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</si>
  <si>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</si>
  <si>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</si>
  <si>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</si>
  <si>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</si>
  <si>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</si>
  <si>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</si>
  <si>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</si>
  <si>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</si>
  <si>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</si>
  <si>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</si>
  <si>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</si>
  <si>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</si>
  <si>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</si>
  <si>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</si>
  <si>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</si>
  <si>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</si>
  <si>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</si>
  <si>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</si>
  <si>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</si>
  <si>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</si>
  <si>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</si>
  <si>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</si>
  <si>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</si>
  <si>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</si>
  <si>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</si>
  <si>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</si>
  <si>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</si>
  <si>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</si>
  <si>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</si>
  <si>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</si>
  <si>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周累计</t>
    <phoneticPr fontId="18" type="noConversion"/>
  </si>
  <si>
    <t>曝光人数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</si>
  <si>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</si>
  <si>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</si>
  <si>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</si>
  <si>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</si>
  <si>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</si>
  <si>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</si>
  <si>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</si>
  <si>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</si>
  <si>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总计</t>
    <phoneticPr fontId="18" type="noConversion"/>
  </si>
  <si>
    <t>过程指标</t>
    <phoneticPr fontId="18" type="noConversion"/>
  </si>
  <si>
    <t>下单人数</t>
    <phoneticPr fontId="18" type="noConversion"/>
  </si>
  <si>
    <t>一、sum - 求和</t>
    <phoneticPr fontId="18" type="noConversion"/>
  </si>
  <si>
    <t>二、sumif -单条件求和</t>
    <phoneticPr fontId="18" type="noConversion"/>
  </si>
  <si>
    <t>三、sumifs - 多条件求和</t>
    <phoneticPr fontId="18" type="noConversion"/>
  </si>
  <si>
    <t>四、sum和subtotal的区别</t>
    <phoneticPr fontId="18" type="noConversion"/>
  </si>
  <si>
    <t>五、if函数</t>
    <phoneticPr fontId="18" type="noConversion"/>
  </si>
  <si>
    <t>1-8月GMV</t>
    <phoneticPr fontId="18" type="noConversion"/>
  </si>
  <si>
    <t>1月和8月GMV</t>
    <phoneticPr fontId="18" type="noConversion"/>
  </si>
  <si>
    <t>日同比</t>
    <phoneticPr fontId="18" type="noConversion"/>
  </si>
  <si>
    <t>日环比</t>
    <phoneticPr fontId="18" type="noConversion"/>
  </si>
  <si>
    <t>月环比</t>
    <phoneticPr fontId="18" type="noConversion"/>
  </si>
  <si>
    <t>sum函数</t>
    <phoneticPr fontId="18" type="noConversion"/>
  </si>
  <si>
    <t>subtotal函数</t>
    <phoneticPr fontId="18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</si>
  <si>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</si>
  <si>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</si>
  <si>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</si>
  <si>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</si>
  <si>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</si>
  <si>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</si>
  <si>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</si>
  <si>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</si>
  <si>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月份</t>
    <phoneticPr fontId="18" type="noConversion"/>
  </si>
  <si>
    <t>cpc总费用</t>
    <phoneticPr fontId="18" type="noConversion"/>
  </si>
  <si>
    <t>判断是否大于月目标10万</t>
    <phoneticPr fontId="18" type="noConversion"/>
  </si>
  <si>
    <t>六、if嵌套</t>
    <phoneticPr fontId="18" type="noConversion"/>
  </si>
  <si>
    <t>大于月目标10万且花费少于5千的为达标</t>
    <phoneticPr fontId="18" type="noConversion"/>
  </si>
  <si>
    <t>门店ID</t>
    <phoneticPr fontId="18" type="noConversion"/>
  </si>
  <si>
    <t>门店名称</t>
    <phoneticPr fontId="18" type="noConversion"/>
  </si>
  <si>
    <t>七、vlookup函数和数据透视表聚合</t>
    <phoneticPr fontId="18" type="noConversion"/>
  </si>
  <si>
    <t>A</t>
    <phoneticPr fontId="18" type="noConversion"/>
  </si>
  <si>
    <t>B</t>
    <phoneticPr fontId="18" type="noConversion"/>
  </si>
  <si>
    <t>判断</t>
    <phoneticPr fontId="18" type="noConversion"/>
  </si>
  <si>
    <t>嵌套举例：</t>
    <phoneticPr fontId="18" type="noConversion"/>
  </si>
  <si>
    <t>类别一</t>
    <phoneticPr fontId="18" type="noConversion"/>
  </si>
  <si>
    <t>C</t>
    <phoneticPr fontId="18" type="noConversion"/>
  </si>
  <si>
    <t>D</t>
    <phoneticPr fontId="18" type="noConversion"/>
  </si>
  <si>
    <t>类别二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</si>
  <si>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</si>
  <si>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</si>
  <si>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</si>
  <si>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值</t>
    <phoneticPr fontId="18" type="noConversion"/>
  </si>
  <si>
    <t>聚合（分类汇总）举例</t>
    <phoneticPr fontId="18" type="noConversion"/>
  </si>
  <si>
    <t>bc</t>
    <phoneticPr fontId="18" type="noConversion"/>
  </si>
  <si>
    <t>bcc</t>
    <phoneticPr fontId="18" type="noConversion"/>
  </si>
  <si>
    <t>模糊查询</t>
    <phoneticPr fontId="18" type="noConversion"/>
  </si>
  <si>
    <t>全名</t>
    <phoneticPr fontId="18" type="noConversion"/>
  </si>
  <si>
    <t>ddd</t>
    <phoneticPr fontId="18" type="noConversion"/>
  </si>
  <si>
    <t>查找项</t>
    <phoneticPr fontId="18" type="noConversion"/>
  </si>
  <si>
    <t>返回值</t>
    <phoneticPr fontId="18" type="noConversion"/>
  </si>
  <si>
    <t>abcd</t>
    <phoneticPr fontId="18" type="noConversion"/>
  </si>
  <si>
    <t>abc</t>
    <phoneticPr fontId="18" type="noConversion"/>
  </si>
  <si>
    <t>查找b开头并且是三个字符所对应的数值</t>
    <phoneticPr fontId="18" type="noConversion"/>
  </si>
  <si>
    <t xml:space="preserve">a </t>
    <phoneticPr fontId="18" type="noConversion"/>
  </si>
  <si>
    <t>查找a对应的值</t>
    <phoneticPr fontId="18" type="noConversion"/>
  </si>
  <si>
    <t>品牌名称</t>
    <phoneticPr fontId="18" type="noConversion"/>
  </si>
  <si>
    <t>品牌ID</t>
    <phoneticPr fontId="18" type="noConversion"/>
  </si>
  <si>
    <t>八、index和match函数</t>
    <phoneticPr fontId="18" type="noConversion"/>
  </si>
  <si>
    <t>美团GMV</t>
    <phoneticPr fontId="18" type="noConversion"/>
  </si>
  <si>
    <t>行标签</t>
  </si>
  <si>
    <t>总计</t>
  </si>
  <si>
    <t>求和项:GMV</t>
  </si>
  <si>
    <t>acd</t>
    <phoneticPr fontId="18" type="noConversion"/>
  </si>
  <si>
    <t>cb</t>
    <phoneticPr fontId="18" type="noConversion"/>
  </si>
  <si>
    <t>A</t>
  </si>
  <si>
    <t>B</t>
  </si>
  <si>
    <t>C</t>
  </si>
  <si>
    <t>D</t>
  </si>
  <si>
    <t>求和项:值2</t>
  </si>
  <si>
    <t>a</t>
  </si>
  <si>
    <t>b</t>
  </si>
  <si>
    <t>c</t>
  </si>
  <si>
    <t>求和项:商家实收</t>
  </si>
  <si>
    <t>文本</t>
    <phoneticPr fontId="18" type="noConversion"/>
  </si>
  <si>
    <t>年</t>
    <phoneticPr fontId="18" type="noConversion"/>
  </si>
  <si>
    <t>月</t>
    <phoneticPr fontId="18" type="noConversion"/>
  </si>
  <si>
    <t>日</t>
    <phoneticPr fontId="18" type="noConversion"/>
  </si>
  <si>
    <t>日期组合</t>
    <phoneticPr fontId="18" type="noConversion"/>
  </si>
  <si>
    <t>上个月这一天的GMV</t>
    <phoneticPr fontId="18" type="noConversion"/>
  </si>
  <si>
    <t>每个月第一天</t>
    <phoneticPr fontId="18" type="noConversion"/>
  </si>
  <si>
    <t>错误的每个月最后一天</t>
    <phoneticPr fontId="18" type="noConversion"/>
  </si>
  <si>
    <t>正确的每个月最后一天</t>
    <phoneticPr fontId="18" type="noConversion"/>
  </si>
  <si>
    <t>蛙小辣·美蛙火锅杯(宝山店)</t>
    <phoneticPr fontId="18" type="noConversion"/>
  </si>
  <si>
    <t>蛙小辣火锅杯（总账号）</t>
    <phoneticPr fontId="18" type="noConversion"/>
  </si>
  <si>
    <t>Row Labels</t>
  </si>
  <si>
    <t>Grand Total</t>
  </si>
  <si>
    <t>曝光人数</t>
  </si>
  <si>
    <t>20年8月第二周</t>
  </si>
  <si>
    <t>星期</t>
  </si>
  <si>
    <t>至</t>
  </si>
  <si>
    <t>GMV</t>
  </si>
  <si>
    <t>商家实收</t>
  </si>
  <si>
    <t>到手率</t>
  </si>
  <si>
    <t>有效订单</t>
  </si>
  <si>
    <t>无效订单</t>
  </si>
  <si>
    <t>客单价</t>
  </si>
  <si>
    <t>进店转化率</t>
  </si>
  <si>
    <t>下单转化率</t>
  </si>
  <si>
    <t>营销占比</t>
  </si>
  <si>
    <t>全部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</si>
</sst>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 * #,##0.00_ ;_ * \-#,##0.00_ ;_ * &quot;-&quot;??_ ;_ @_ "/>
    <numFmt numFmtId="169" formatCode="yyyy/mm/dd"/>
    <numFmt numFmtId="170" formatCode="yyyy/mm"/>
    <numFmt numFmtId="171" formatCode="0.00_);[Red]\(0.00\)"/>
  </numFmts>
  <fonts count="2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</font>
    <font>
      <b/>
      <sz val="11"/>
      <color rgb="FFFFC000"/>
      <name val="Calibri"/>
      <family val="2"/>
      <charset val="134"/>
      <scheme val="minor"/>
    </font>
    <font>
      <b/>
      <sz val="12"/>
      <color rgb="FFFFC000"/>
      <name val="微软雅黑"/>
      <family val="2"/>
      <charset val="134"/>
    </font>
    <font>
      <b/>
      <sz val="12"/>
      <color theme="1"/>
      <name val="微软雅黑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18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42" applyFont="1" applyFill="1">
      <alignment vertical="center"/>
    </xf>
    <xf numFmtId="169" fontId="0" fillId="0" borderId="18" xfId="0" applyNumberFormat="1" applyBorder="1" applyAlignment="1">
      <alignment horizontal="center" vertical="center"/>
    </xf>
    <xf numFmtId="171" fontId="0" fillId="0" borderId="0" xfId="0" applyNumberFormat="1">
      <alignment vertical="center"/>
    </xf>
    <xf numFmtId="169" fontId="0" fillId="0" borderId="0" xfId="0" applyNumberFormat="1" applyAlignment="1">
      <alignment horizontal="center" vertical="center"/>
    </xf>
    <xf numFmtId="170" fontId="0" fillId="0" borderId="18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9" fontId="0" fillId="0" borderId="0" xfId="0" applyNumberFormat="1">
      <alignment vertical="center"/>
    </xf>
    <xf numFmtId="10" fontId="0" fillId="0" borderId="18" xfId="43" applyNumberFormat="1" applyFont="1" applyFill="1" applyBorder="1" applyAlignment="1">
      <alignment horizontal="center" vertical="center"/>
    </xf>
    <xf numFmtId="10" fontId="0" fillId="0" borderId="18" xfId="43" applyNumberFormat="1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19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14" fontId="19" fillId="0" borderId="0" xfId="0" applyNumberFormat="1" applyFont="1">
      <alignment vertical="center"/>
    </xf>
    <xf numFmtId="10" fontId="19" fillId="0" borderId="0" xfId="43" applyNumberFormat="1" applyFont="1">
      <alignment vertical="center"/>
    </xf>
    <xf numFmtId="10" fontId="19" fillId="0" borderId="0" xfId="0" applyNumberFormat="1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10" fontId="23" fillId="0" borderId="0" xfId="0" applyNumberFormat="1" applyFont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0" fontId="19" fillId="0" borderId="10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17" xfId="0" applyFont="1" applyBorder="1">
      <alignment vertical="center"/>
    </xf>
    <xf numFmtId="0" fontId="22" fillId="0" borderId="10" xfId="0" applyFont="1" applyBorder="1">
      <alignment vertical="center"/>
    </xf>
    <xf numFmtId="0" fontId="19" fillId="0" borderId="11" xfId="0" applyFont="1" applyBorder="1">
      <alignment vertical="center"/>
    </xf>
    <xf numFmtId="0" fontId="19" fillId="33" borderId="13" xfId="0" applyFont="1" applyFill="1" applyBorder="1">
      <alignment vertical="center"/>
    </xf>
    <xf numFmtId="0" fontId="19" fillId="33" borderId="0" xfId="0" applyFont="1" applyFill="1">
      <alignment vertical="center"/>
    </xf>
    <xf numFmtId="0" fontId="19" fillId="33" borderId="14" xfId="0" applyFont="1" applyFill="1" applyBorder="1">
      <alignment vertical="center"/>
    </xf>
    <xf numFmtId="14" fontId="19" fillId="0" borderId="13" xfId="0" applyNumberFormat="1" applyFont="1" applyBorder="1">
      <alignment vertical="center"/>
    </xf>
    <xf numFmtId="1" fontId="19" fillId="0" borderId="0" xfId="0" applyNumberFormat="1" applyFont="1">
      <alignment vertical="center"/>
    </xf>
    <xf numFmtId="10" fontId="19" fillId="0" borderId="0" xfId="43" applyNumberFormat="1" applyFont="1" applyBorder="1">
      <alignment vertical="center"/>
    </xf>
    <xf numFmtId="1" fontId="19" fillId="0" borderId="14" xfId="0" applyNumberFormat="1" applyFont="1" applyBorder="1">
      <alignment vertical="center"/>
    </xf>
    <xf numFmtId="0" fontId="19" fillId="0" borderId="16" xfId="0" applyFont="1" applyBorder="1">
      <alignment vertical="center"/>
    </xf>
    <xf numFmtId="1" fontId="19" fillId="0" borderId="16" xfId="0" applyNumberFormat="1" applyFont="1" applyBorder="1">
      <alignment vertical="center"/>
    </xf>
    <xf numFmtId="10" fontId="19" fillId="0" borderId="16" xfId="43" applyNumberFormat="1" applyFont="1" applyBorder="1">
      <alignment vertical="center"/>
    </xf>
    <xf numFmtId="1" fontId="19" fillId="0" borderId="17" xfId="0" applyNumberFormat="1" applyFont="1" applyBorder="1">
      <alignment vertical="center"/>
    </xf>
    <xf numFmtId="10" fontId="19" fillId="0" borderId="14" xfId="43" applyNumberFormat="1" applyFont="1" applyBorder="1">
      <alignment vertical="center"/>
    </xf>
    <xf numFmtId="10" fontId="19" fillId="0" borderId="17" xfId="43" applyNumberFormat="1" applyFont="1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9" fontId="19" fillId="0" borderId="13" xfId="43" applyFont="1" applyBorder="1" applyAlignment="1">
      <alignment horizontal="center" vertical="center"/>
    </xf>
    <xf numFmtId="9" fontId="19" fillId="0" borderId="14" xfId="43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b/>
        <i val="0"/>
        <u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7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[外卖订单Excel周报.xlsx]数据透视图表!数据透视表4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数据透视图表!$B$3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数据透视图表!$C$3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[外卖订单Excel周报.xlsx]数据透视图表!数据透视表4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数据透视图表!$B$3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435-A9FC-DDFF9BACA98B}"/>
            </c:ext>
          </c:extLst>
        </c:ser>
        <c:ser>
          <c:idx val="1"/>
          <c:order val="1"/>
          <c:tx>
            <c:strRef>
              <c:f>数据透视图表!$C$3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435-A9FC-DDFF9BAC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333374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1">
              <a:extLst>
                <a:ext uri="{FF2B5EF4-FFF2-40B4-BE49-F238E27FC236}">
                  <a16:creationId xmlns:a16="http://schemas.microsoft.com/office/drawing/2014/main" id="{B9F7D232-F71C-4BA9-AF97-92D44D322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1714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5623B3-7062-44D9-BB55-FAF1DFAF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15</xdr:row>
      <xdr:rowOff>133350</xdr:rowOff>
    </xdr:from>
    <xdr:to>
      <xdr:col>10</xdr:col>
      <xdr:colOff>533400</xdr:colOff>
      <xdr:row>30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ABE736-9F7E-4E3F-B38A-DB2A82B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拌客源数据1-8月"/>
  </cacheSource>
  <cacheFields count="30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 count="554">
        <n v="1349.51"/>
        <n v="741.23"/>
        <n v="585.91"/>
        <n v="1114.05"/>
        <n v="1069.32"/>
        <n v="974.62"/>
        <n v="602.88"/>
        <n v="1180.31"/>
        <n v="1595.58"/>
        <n v="642.23"/>
        <n v="1607.79"/>
        <n v="1573.61"/>
        <n v="870.73"/>
        <n v="614.58000000000004"/>
        <n v="1157.83"/>
        <n v="1368.12"/>
        <n v="1139.24"/>
        <n v="843.54"/>
        <n v="909.82"/>
        <n v="1466.4"/>
        <n v="1223.6199999999999"/>
        <n v="986.41"/>
        <n v="1245.54"/>
        <n v="953.51"/>
        <n v="633.09"/>
        <n v="673.11"/>
        <n v="455.59"/>
        <n v="808.1"/>
        <n v="553.16999999999996"/>
        <n v="755.48"/>
        <n v="524.51"/>
        <n v="792.95"/>
        <n v="419.69"/>
        <n v="584.82000000000005"/>
        <n v="454.74"/>
        <n v="663.99"/>
        <n v="816.25"/>
        <n v="396.86"/>
        <n v="306.64999999999998"/>
        <n v="463.55"/>
        <n v="553.47"/>
        <n v="989.24"/>
        <n v="747.47"/>
        <n v="616.08000000000004"/>
        <n v="600.1"/>
        <n v="557.37"/>
        <n v="605.16999999999996"/>
        <n v="700.31"/>
        <n v="399.59"/>
        <n v="687.28"/>
        <n v="292.77"/>
        <n v="808.72"/>
        <n v="531.23"/>
        <n v="411.25"/>
        <n v="669.5"/>
        <n v="325.48"/>
        <n v="446.19"/>
        <n v="232.67"/>
        <n v="321.76"/>
        <n v="285.77"/>
        <n v="434.38"/>
        <n v="186.2"/>
        <n v="291.23"/>
        <n v="198.36"/>
        <n v="346.99"/>
        <n v="159.97"/>
        <n v="366.14"/>
        <n v="419.6"/>
        <n v="348.98"/>
        <n v="131.76"/>
        <n v="486.9"/>
        <n v="302.12"/>
        <n v="1184.02"/>
        <n v="256.64999999999998"/>
        <n v="589.51"/>
        <n v="226.66"/>
        <n v="568.53"/>
        <n v="339.7"/>
        <n v="207.56"/>
        <n v="263.44"/>
        <n v="624.96"/>
        <n v="363.86"/>
        <n v="204.92"/>
        <n v="199.07"/>
        <n v="625.35"/>
        <n v="153.72999999999999"/>
        <n v="631.54999999999995"/>
        <n v="232.66"/>
        <n v="517.61"/>
        <n v="327.01"/>
        <n v="249.13"/>
        <n v="235.83"/>
        <n v="524.39"/>
        <n v="509.43"/>
        <n v="76.349999999999994"/>
        <n v="495.64"/>
        <n v="221"/>
        <n v="340.42"/>
        <n v="323.02999999999997"/>
        <n v="155.24"/>
        <n v="298.60000000000002"/>
        <n v="411.35"/>
        <n v="467.26"/>
        <n v="197.66"/>
        <n v="277.11"/>
        <n v="379.32"/>
        <n v="386.19"/>
        <n v="179.71"/>
        <n v="201.38"/>
        <n v="213.41"/>
        <n v="417.47"/>
        <n v="313.35000000000002"/>
        <n v="489.67"/>
        <n v="476.12"/>
        <n v="308.24"/>
        <n v="570.27"/>
        <n v="707.35"/>
        <n v="577.14"/>
        <n v="263.39"/>
        <n v="371.76"/>
        <n v="599.44000000000005"/>
        <n v="519.22"/>
        <n v="379.93"/>
        <n v="218.69"/>
        <n v="326.95"/>
        <n v="243.39"/>
        <n v="634.51"/>
        <n v="385.67"/>
        <n v="402.64"/>
        <n v="278.22000000000003"/>
        <n v="199.19"/>
        <n v="263.38"/>
        <n v="373.97"/>
        <n v="385.3"/>
        <n v="269.83"/>
        <n v="315.55"/>
        <n v="370.53"/>
        <n v="216.21"/>
        <n v="183.1"/>
        <n v="352.06"/>
        <n v="361.99"/>
        <n v="449.65"/>
        <n v="274.58"/>
        <n v="467.13"/>
        <n v="328.09"/>
        <n v="335.48"/>
        <n v="529.58000000000004"/>
        <n v="217.8"/>
        <n v="433.44"/>
        <n v="406.42"/>
        <n v="401.05"/>
        <n v="500.28"/>
        <n v="294.74"/>
        <n v="601.79999999999995"/>
        <n v="640.25"/>
        <n v="782.06"/>
        <n v="588.29"/>
        <n v="230.26"/>
        <n v="505.91"/>
        <n v="154.26"/>
        <n v="345.46"/>
        <n v="247.51"/>
        <n v="379.12"/>
        <n v="448.35"/>
        <n v="513.88"/>
        <n v="454.89"/>
        <n v="526.42999999999995"/>
        <n v="561.83000000000004"/>
        <n v="370.49"/>
        <n v="331.88"/>
        <n v="416.93"/>
        <n v="392.18"/>
        <n v="413.5"/>
        <n v="371.39"/>
        <n v="747.4"/>
        <n v="438.84"/>
        <n v="384.58"/>
        <n v="437.25"/>
        <n v="351.68"/>
        <n v="445.42"/>
        <n v="425.75"/>
        <n v="457.35"/>
        <n v="357.04"/>
        <n v="367.95"/>
        <n v="195.95"/>
        <n v="453"/>
        <n v="420.58"/>
        <n v="665.67"/>
        <n v="137.02000000000001"/>
        <n v="437.57"/>
        <n v="404.66"/>
        <n v="370.24"/>
        <n v="213.88"/>
        <n v="380.01"/>
        <n v="297.89999999999998"/>
        <n v="422.63"/>
        <n v="384.21"/>
        <n v="511.36"/>
        <n v="305.64"/>
        <n v="596.16999999999996"/>
        <n v="629.23"/>
        <n v="256.63"/>
        <n v="546.27"/>
        <n v="950"/>
        <n v="262.74"/>
        <n v="375.88"/>
        <n v="398.69"/>
        <n v="545.16999999999996"/>
        <n v="469.5"/>
        <n v="192.78"/>
        <n v="760.19"/>
        <n v="685.13"/>
        <n v="365.36"/>
        <n v="427.59"/>
        <n v="538.82000000000005"/>
        <n v="333.74"/>
        <n v="392.64"/>
        <n v="317.7"/>
        <n v="207.49"/>
        <n v="541.83000000000004"/>
        <n v="346.95"/>
        <n v="454.71"/>
        <n v="200.04"/>
        <n v="809.63"/>
        <n v="456.38"/>
        <n v="397.06"/>
        <n v="418.39"/>
        <n v="310.14999999999998"/>
        <n v="450.61"/>
        <n v="335.6"/>
        <n v="0"/>
        <n v="534.33000000000004"/>
        <n v="460.05"/>
        <n v="643.41999999999996"/>
        <n v="598.1"/>
        <n v="954.35"/>
        <n v="392.87"/>
        <n v="1384.92"/>
        <n v="595.63"/>
        <n v="1074.44"/>
        <n v="698.07"/>
        <n v="481.48"/>
        <n v="1516.31"/>
        <n v="604.29"/>
        <n v="651.03"/>
        <n v="1783.41"/>
        <n v="506.97"/>
        <n v="531.66"/>
        <n v="1441.52"/>
        <n v="513.70000000000005"/>
        <n v="386.65"/>
        <n v="1763.57"/>
        <n v="352.92"/>
        <n v="461.99"/>
        <n v="1622.64"/>
        <n v="417.69"/>
        <n v="356.58"/>
        <n v="2260.0100000000002"/>
        <n v="568.96"/>
        <n v="375.25"/>
        <n v="2127.48"/>
        <n v="398.31"/>
        <n v="497.1"/>
        <n v="2074.9499999999998"/>
        <n v="333.79"/>
        <n v="446.06"/>
        <n v="2586.89"/>
        <n v="273.60000000000002"/>
        <n v="589.59"/>
        <n v="1671.71"/>
        <n v="221.3"/>
        <n v="465.97"/>
        <n v="2131.33"/>
        <n v="647.41"/>
        <n v="499.83"/>
        <n v="2789.79"/>
        <n v="234.64"/>
        <n v="323.64"/>
        <n v="3367.76"/>
        <n v="496.96"/>
        <n v="370.99"/>
        <n v="2993.95"/>
        <n v="241.72"/>
        <n v="321.89"/>
        <n v="2757"/>
        <n v="328.71"/>
        <n v="606.36"/>
        <n v="2495.79"/>
        <n v="517.71"/>
        <n v="290.54000000000002"/>
        <n v="2740.9"/>
        <n v="670.83"/>
        <n v="702.37"/>
        <n v="2309.34"/>
        <n v="481.62"/>
        <n v="501.34"/>
        <n v="2992.13"/>
        <n v="436.2"/>
        <n v="469.75"/>
        <n v="3271.86"/>
        <n v="502.08"/>
        <n v="353.85"/>
        <n v="3171.21"/>
        <n v="527.41"/>
        <n v="516.91"/>
        <n v="3780.11"/>
        <n v="497.41"/>
        <n v="688.33"/>
        <n v="2518.89"/>
        <n v="789.29"/>
        <n v="477.78"/>
        <n v="2815.73"/>
        <n v="615.12"/>
        <n v="483.71"/>
        <n v="2849.17"/>
        <n v="468.53"/>
        <n v="155.09"/>
        <n v="2039.73"/>
        <n v="398.4"/>
        <n v="280.52999999999997"/>
        <n v="2574.5700000000002"/>
        <n v="414.5"/>
        <n v="359.41"/>
        <n v="2418.73"/>
        <n v="436.96"/>
        <n v="2091.0500000000002"/>
        <n v="421.56"/>
        <n v="2261.35"/>
        <n v="393.68"/>
        <n v="547.78"/>
        <n v="1669.01"/>
        <n v="265.33999999999997"/>
        <n v="496.7"/>
        <n v="1694.15"/>
        <n v="365.33"/>
        <n v="401.97"/>
        <n v="1830.73"/>
        <n v="379.9"/>
        <n v="501.51"/>
        <n v="1912.97"/>
        <n v="461.88"/>
        <n v="394.37"/>
        <n v="2220.77"/>
        <n v="485.5"/>
        <n v="238.08"/>
        <n v="1885.89"/>
        <n v="431.14"/>
        <n v="265.82"/>
        <n v="2301.64"/>
        <n v="302.72000000000003"/>
        <n v="563.01"/>
        <n v="1713.34"/>
        <n v="306.85000000000002"/>
        <n v="343.55"/>
        <n v="1477.41"/>
        <n v="239.11"/>
        <n v="151.28"/>
        <n v="1660.31"/>
        <n v="265.52999999999997"/>
        <n v="274.97000000000003"/>
        <n v="2063.2399999999998"/>
        <n v="167.6"/>
        <n v="344.4"/>
        <n v="2056.5"/>
        <n v="334.27"/>
        <n v="268.26"/>
        <n v="1230.3599999999999"/>
        <n v="577.77"/>
        <n v="302.02999999999997"/>
        <n v="1400.57"/>
        <n v="407.4"/>
        <n v="195.91"/>
        <n v="1847.05"/>
        <n v="632.45000000000005"/>
        <n v="399.85"/>
        <n v="1659.38"/>
        <n v="603.20000000000005"/>
        <n v="280.13"/>
        <n v="1363.52"/>
        <n v="204.06"/>
        <n v="312.87"/>
        <n v="1431.61"/>
        <n v="390.49"/>
        <n v="324.39999999999998"/>
        <n v="1331.57"/>
        <n v="395.07"/>
        <n v="351.48"/>
        <n v="1685.33"/>
        <n v="416.37"/>
        <n v="363.71"/>
        <n v="984.87"/>
        <n v="394.1"/>
        <n v="323.98"/>
        <n v="1022.37"/>
        <n v="356.81"/>
        <n v="440.92"/>
        <n v="902.21"/>
        <n v="333.06"/>
        <n v="377.65"/>
        <n v="434.62"/>
        <n v="1100.6099999999999"/>
        <n v="281.64"/>
        <n v="269.20999999999998"/>
        <n v="1218.06"/>
        <n v="1617.52"/>
        <n v="421.82"/>
        <n v="208.67"/>
        <n v="1113.7"/>
        <n v="1548.8"/>
        <n v="392.26"/>
        <n v="249.09"/>
        <n v="937.66"/>
        <n v="1513.8"/>
        <n v="612.74"/>
        <n v="289.41000000000003"/>
        <n v="918.96"/>
        <n v="1118.1500000000001"/>
        <n v="315.14999999999998"/>
        <n v="288.83"/>
        <n v="627.14"/>
        <n v="978.06"/>
        <n v="331.16"/>
        <n v="465.62"/>
        <n v="983.31"/>
        <n v="1234.1400000000001"/>
        <n v="302.60000000000002"/>
        <n v="334.4"/>
        <n v="1036.77"/>
        <n v="1697.87"/>
        <n v="247.8"/>
        <n v="379.63"/>
        <n v="1222.6099999999999"/>
        <n v="2525.06"/>
        <n v="406.14"/>
        <n v="324.73"/>
        <n v="1115.75"/>
        <n v="2272.89"/>
        <n v="455.03"/>
        <n v="1047.0899999999999"/>
        <n v="2194.7199999999998"/>
        <n v="385.2"/>
        <n v="683.23"/>
        <n v="1292.96"/>
        <n v="387.47"/>
        <n v="643.94000000000005"/>
        <n v="1269.06"/>
        <n v="106.6"/>
        <n v="1289.92"/>
        <n v="1742.86"/>
        <n v="1035.1400000000001"/>
        <n v="1487.77"/>
        <n v="312.36"/>
        <n v="1159.68"/>
        <n v="1713.92"/>
        <n v="406.53"/>
        <n v="330.71"/>
        <n v="937.23"/>
        <n v="1728.65"/>
        <n v="444.53"/>
        <n v="568.77"/>
        <n v="855.86"/>
        <n v="1735.86"/>
        <n v="563.89"/>
        <n v="460.04"/>
        <n v="756.29"/>
        <n v="542.23"/>
        <n v="1066.23"/>
        <n v="1163.2"/>
        <n v="449.36"/>
        <n v="853.16"/>
        <n v="1282.8800000000001"/>
        <n v="576.4"/>
        <n v="1411.88"/>
        <n v="988.58"/>
        <n v="315.77"/>
        <n v="553.38"/>
        <n v="885.15"/>
        <n v="1031.19"/>
        <n v="357.91"/>
        <n v="273.93"/>
        <n v="1030.83"/>
        <n v="1060.07"/>
        <n v="407.65"/>
        <n v="403.13"/>
        <n v="995.88"/>
        <n v="1079.26"/>
        <n v="438.69"/>
        <n v="731.42"/>
        <n v="988.54"/>
        <n v="706.6"/>
        <n v="455.06"/>
        <n v="390.55"/>
        <n v="853.39"/>
        <n v="916.57"/>
        <n v="345.36"/>
        <n v="407.2"/>
        <n v="837.78"/>
        <n v="682.04"/>
        <n v="362.04"/>
        <n v="395.83"/>
        <n v="383"/>
        <n v="624.42999999999995"/>
        <n v="339.59"/>
        <n v="720.17"/>
        <n v="337.53"/>
        <n v="402.85"/>
        <n v="486.51"/>
        <n v="410.37"/>
        <n v="193.5"/>
        <n v="254.05"/>
        <n v="271.97000000000003"/>
        <n v="506.93"/>
        <n v="268.69"/>
        <n v="499.98"/>
        <n v="503.36"/>
        <n v="419.83"/>
        <n v="314.57"/>
        <n v="346.44"/>
        <n v="286.12"/>
        <n v="347.98"/>
        <n v="442.92"/>
        <n v="356.41"/>
        <n v="461.15"/>
        <n v="414.91"/>
        <n v="318.77999999999997"/>
        <n v="436.37"/>
        <n v="422.43"/>
        <n v="318.58999999999997"/>
        <n v="332.63"/>
        <n v="515.28"/>
        <n v="396"/>
        <n v="301.77"/>
        <n v="366.67"/>
        <n v="213.17"/>
        <n v="535.53"/>
        <n v="252.92"/>
        <n v="440.2"/>
        <n v="232.3"/>
        <n v="429.62"/>
        <n v="198.89"/>
        <n v="396.77"/>
        <n v="249.2"/>
        <n v="361.58"/>
        <n v="268.02999999999997"/>
        <n v="418.82"/>
        <n v="397.33"/>
        <n v="770.01"/>
        <n v="523.91999999999996"/>
        <n v="324.19"/>
        <n v="499.79"/>
        <n v="267.45999999999998"/>
        <n v="277.14999999999998"/>
        <n v="290.8"/>
        <n v="356.39"/>
      </sharedItems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674458796297" createdVersion="7" refreshedVersion="7" minRefreshableVersion="3" recordCount="8" xr:uid="{1FE6FBB3-CCE5-4ACE-9A3E-E427D01BD665}">
  <cacheSource type="worksheet">
    <worksheetSource ref="S95:U103" sheet="常用函数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s v="上海"/>
    <s v="eleme"/>
    <x v="0"/>
    <s v="蛙小辣·美蛙火锅杯(宝山店)"/>
    <n v="3545.74"/>
    <x v="0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s v="蛙小辣火锅杯（合生汇店）"/>
    <n v="2065.6"/>
    <x v="1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s v="蛙小辣火锅杯(龙阳广场店)"/>
    <n v="1498.22"/>
    <x v="2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s v="蛙小辣火锅杯(五角场店)"/>
    <n v="2184.44"/>
    <x v="3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s v="蛙小辣·美蛙火锅杯(宝山店)"/>
    <n v="2878.18"/>
    <x v="4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s v="蛙小辣火锅杯（合生汇店）"/>
    <n v="2592"/>
    <x v="5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s v="蛙小辣火锅杯(龙阳广场店)"/>
    <n v="1640.77"/>
    <x v="6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s v="蛙小辣火锅杯(五角场店)"/>
    <n v="2225.1"/>
    <x v="7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s v="蛙小辣·美蛙火锅杯(宝山店)"/>
    <n v="4093.26"/>
    <x v="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s v="蛙小辣火锅杯(龙阳广场店)"/>
    <n v="1782.05"/>
    <x v="9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s v="蛙小辣火锅杯(五角场店)"/>
    <n v="3455.42"/>
    <x v="10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s v="蛙小辣·美蛙火锅杯(宝山店)"/>
    <n v="4058.06"/>
    <x v="1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s v="蛙小辣火锅杯（合生汇店）"/>
    <n v="2130.38"/>
    <x v="12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s v="蛙小辣火锅杯(龙阳广场店)"/>
    <n v="1531"/>
    <x v="13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s v="蛙小辣火锅杯(五角场店)"/>
    <n v="2473.8200000000002"/>
    <x v="14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s v="蛙小辣·美蛙火锅杯(宝山店)"/>
    <n v="3576.58"/>
    <x v="15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s v="蛙小辣火锅杯(五角场店)"/>
    <n v="2655.38"/>
    <x v="16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s v="蛙小辣·美蛙火锅杯(宝山店)"/>
    <n v="2265.8200000000002"/>
    <x v="17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s v="蛙小辣火锅杯(五角场店)"/>
    <n v="2397.1999999999998"/>
    <x v="18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s v="蛙小辣·美蛙火锅杯(宝山店)"/>
    <n v="3735.26"/>
    <x v="19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s v="蛙小辣·美蛙火锅杯(宝山店)"/>
    <n v="3299.56"/>
    <x v="20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s v="蛙小辣·美蛙火锅杯(宝山店)"/>
    <n v="2757.22"/>
    <x v="2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s v="蛙小辣·美蛙火锅杯(宝山店)"/>
    <n v="3332.6"/>
    <x v="22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s v="蛙小辣·美蛙火锅杯(宝山店)"/>
    <n v="2059.71"/>
    <x v="23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s v="蛙小辣·美蛙火锅杯(宝山店)"/>
    <n v="1317.5"/>
    <x v="24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s v="蛙小辣·美蛙火锅杯(宝山店)"/>
    <n v="1654.01"/>
    <x v="25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s v="蛙小辣·美蛙火锅杯(宝山店)"/>
    <n v="1167.76"/>
    <x v="26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s v="蛙小辣·美蛙火锅杯(宝山店)"/>
    <n v="1908.22"/>
    <x v="27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s v="蛙小辣·美蛙火锅杯(宝山店)"/>
    <n v="1278.08"/>
    <x v="28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s v="蛙小辣·美蛙火锅杯(宝山店)"/>
    <n v="1738.06"/>
    <x v="29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s v="蛙小辣·美蛙火锅杯(宝山店)"/>
    <n v="1316.57"/>
    <x v="30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s v="蛙小辣·美蛙火锅杯(宝山店)"/>
    <n v="1915.36"/>
    <x v="31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s v="蛙小辣·美蛙火锅杯(宝山店)"/>
    <n v="1006.99"/>
    <x v="32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s v="蛙小辣·美蛙火锅杯(宝山店)"/>
    <n v="1384.55"/>
    <x v="33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s v="蛙小辣·美蛙火锅杯(宝山店)"/>
    <n v="1112.52"/>
    <x v="3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s v="蛙小辣·美蛙火锅杯(宝山店)"/>
    <n v="1513.37"/>
    <x v="35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s v="蛙小辣·美蛙火锅杯(宝山店)"/>
    <n v="1825.26"/>
    <x v="36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s v="蛙小辣·美蛙火锅杯(宝山店)"/>
    <n v="984.56"/>
    <x v="37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s v="蛙小辣·美蛙火锅杯(宝山店)"/>
    <n v="758.35"/>
    <x v="3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s v="蛙小辣·美蛙火锅杯(宝山店)"/>
    <n v="1135.1400000000001"/>
    <x v="39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s v="蛙小辣·美蛙火锅杯(宝山店)"/>
    <n v="1370.68"/>
    <x v="40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s v="蛙小辣·美蛙火锅杯(宝山店)"/>
    <n v="2294.79"/>
    <x v="41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s v="蛙小辣·美蛙火锅杯(宝山店)"/>
    <n v="1708.47"/>
    <x v="42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s v="蛙小辣·美蛙火锅杯(宝山店)"/>
    <n v="1470.49"/>
    <x v="43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s v="蛙小辣·美蛙火锅杯（长风大悦城店）"/>
    <n v="1433.74"/>
    <x v="44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s v="eleme"/>
    <x v="0"/>
    <s v="蛙小辣·美蛙火锅杯(宝山店)"/>
    <n v="1216.3599999999999"/>
    <x v="45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s v="蛙小辣·美蛙火锅杯（长风大悦城店）"/>
    <n v="1244.8800000000001"/>
    <x v="4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s v="蛙小辣·美蛙火锅杯(宝山店)"/>
    <n v="1798.82"/>
    <x v="47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s v="蛙小辣·美蛙火锅杯（长风大悦城店）"/>
    <n v="930.74"/>
    <x v="48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s v="蛙小辣·美蛙火锅杯(宝山店)"/>
    <n v="1687.17"/>
    <x v="49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s v="蛙小辣·美蛙火锅杯（长风大悦城店）"/>
    <n v="704.21"/>
    <x v="50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s v="蛙小辣·美蛙火锅杯(宝山店)"/>
    <n v="2072.36"/>
    <x v="51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s v="蛙小辣·美蛙火锅杯(宝山店)"/>
    <n v="1401.49"/>
    <x v="52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s v="蛙小辣·美蛙火锅杯(宝山店)"/>
    <n v="1085"/>
    <x v="53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s v="蛙小辣·美蛙火锅杯(宝山店)"/>
    <n v="1739.49"/>
    <x v="54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s v="蛙小辣火锅杯（宝山店）"/>
    <n v="723.57"/>
    <x v="55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s v="蛙小辣·美蛙火锅杯(宝山店)"/>
    <n v="1221.93"/>
    <x v="56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s v="蛙小辣火锅杯（宝山店）"/>
    <n v="545.27"/>
    <x v="5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s v="蛙小辣·美蛙火锅杯(宝山店)"/>
    <n v="1013.08"/>
    <x v="58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s v="蛙小辣火锅杯（宝山店）"/>
    <n v="639.20000000000005"/>
    <x v="59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s v="蛙小辣·美蛙火锅杯(宝山店)"/>
    <n v="1227.58"/>
    <x v="60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s v="蛙小辣火锅杯（宝山店）"/>
    <n v="448.37"/>
    <x v="61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s v="蛙小辣火锅杯（五角场店）"/>
    <n v="883.53"/>
    <x v="62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s v="蛙小辣火锅杯(五角场店)"/>
    <n v="601.70000000000005"/>
    <x v="63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s v="蛙小辣·美蛙火锅杯(宝山店)"/>
    <n v="1021.94"/>
    <x v="64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s v="蛙小辣火锅杯（宝山店）"/>
    <n v="384.1"/>
    <x v="65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s v="蛙小辣火锅杯（五角场店）"/>
    <n v="1112.56"/>
    <x v="66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s v="蛙小辣火锅杯(五角场店)"/>
    <n v="1367.21"/>
    <x v="67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s v="eleme"/>
    <x v="0"/>
    <s v="蛙小辣·美蛙火锅杯(宝山店)"/>
    <n v="894.03"/>
    <x v="6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s v="蛙小辣火锅杯（宝山店）"/>
    <n v="388.73"/>
    <x v="69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s v="蛙小辣火锅杯(五角场店)"/>
    <n v="1377.74"/>
    <x v="70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s v="蛙小辣火锅杯（五角场店）"/>
    <n v="968.82"/>
    <x v="71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s v="eleme"/>
    <x v="0"/>
    <s v="蛙小辣·美蛙火锅杯(宝山店)"/>
    <n v="2567"/>
    <x v="7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s v="蛙小辣火锅杯（宝山店）"/>
    <n v="640.04"/>
    <x v="73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s v="蛙小辣·美蛙火锅杯(宝山店)"/>
    <n v="1581.86"/>
    <x v="74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s v="蛙小辣火锅杯（宝山店）"/>
    <n v="583.72"/>
    <x v="75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s v="蛙小辣·美蛙火锅杯(宝山店)"/>
    <n v="1449.58"/>
    <x v="76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s v="蛙小辣火锅杯（宝山店）"/>
    <n v="815.11"/>
    <x v="7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s v="蛙小辣·美蛙火锅杯(宝山店)"/>
    <n v="529.41"/>
    <x v="78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s v="蛙小辣火锅杯（宝山店）"/>
    <n v="742.35"/>
    <x v="79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s v="蛙小辣·美蛙火锅杯(宝山店)"/>
    <n v="1595.19"/>
    <x v="80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s v="蛙小辣火锅杯（宝山店）"/>
    <n v="868.91"/>
    <x v="81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s v="蛙小辣·美蛙火锅杯(宝山店)"/>
    <n v="596.26"/>
    <x v="8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s v="蛙小辣火锅杯（宝山店）"/>
    <n v="522.53"/>
    <x v="83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s v="eleme"/>
    <x v="0"/>
    <s v="蛙小辣·美蛙火锅杯(宝山店)"/>
    <n v="1703.44"/>
    <x v="84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s v="蛙小辣火锅杯（宝山店）"/>
    <n v="402.23"/>
    <x v="85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s v="eleme"/>
    <x v="0"/>
    <s v="蛙小辣·美蛙火锅杯(宝山店)"/>
    <n v="1749.35"/>
    <x v="86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s v="蛙小辣火锅杯（宝山店）"/>
    <n v="596.30999999999995"/>
    <x v="87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s v="蛙小辣·美蛙火锅杯(宝山店)"/>
    <n v="1458.53"/>
    <x v="88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s v="蛙小辣火锅杯（宝山店）"/>
    <n v="849.38"/>
    <x v="89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s v="蛙小辣火锅杯（五角场店）"/>
    <n v="837.26"/>
    <x v="90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s v="蛙小辣火锅杯(五角场店)"/>
    <n v="706.88"/>
    <x v="91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s v="蛙小辣·美蛙火锅杯(宝山店)"/>
    <n v="1293.56"/>
    <x v="92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s v="蛙小辣火锅杯(五角场店)"/>
    <n v="1366.3"/>
    <x v="9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s v="蛙小辣火锅杯（五角场店）"/>
    <n v="299.62"/>
    <x v="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s v="eleme"/>
    <x v="0"/>
    <s v="蛙小辣·美蛙火锅杯(宝山店)"/>
    <n v="1462.61"/>
    <x v="95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s v="蛙小辣火锅杯（五角场店）"/>
    <n v="561.78"/>
    <x v="96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s v="蛙小辣火锅杯(五角场店)"/>
    <n v="940.11"/>
    <x v="97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s v="蛙小辣·美蛙火锅杯(宝山店)"/>
    <n v="958.69"/>
    <x v="98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s v="蛙小辣火锅杯（宝山店）"/>
    <n v="414.71"/>
    <x v="99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s v="蛙小辣火锅杯（五角场店）"/>
    <n v="823.99"/>
    <x v="100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s v="蛙小辣火锅杯(五角场店)"/>
    <n v="1045.28"/>
    <x v="101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s v="蛙小辣·美蛙火锅杯(宝山店)"/>
    <n v="1337.57"/>
    <x v="102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s v="蛙小辣火锅杯（宝山店）"/>
    <n v="535.13"/>
    <x v="103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s v="meituan"/>
    <x v="1"/>
    <s v="蛙小辣火锅杯（五角场店）"/>
    <n v="842.06"/>
    <x v="104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s v="蛙小辣火锅杯(五角场店)"/>
    <n v="1096.1099999999999"/>
    <x v="105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s v="蛙小辣·美蛙火锅杯(宝山店)"/>
    <n v="1198.9000000000001"/>
    <x v="106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s v="蛙小辣火锅杯（宝山店）"/>
    <n v="495.56"/>
    <x v="107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s v="蛙小辣火锅杯（五角场店）"/>
    <n v="588.05999999999995"/>
    <x v="10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s v="蛙小辣火锅杯(五角场店)"/>
    <n v="644.99"/>
    <x v="109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s v="蛙小辣·美蛙火锅杯(宝山店)"/>
    <n v="1117.31"/>
    <x v="110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s v="蛙小辣火锅杯（宝山店）"/>
    <n v="721.7"/>
    <x v="111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s v="蛙小辣火锅杯(五角场店)"/>
    <n v="1385.08"/>
    <x v="112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s v="蛙小辣·美蛙火锅杯(宝山店)"/>
    <n v="1220.96"/>
    <x v="113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s v="蛙小辣火锅杯（宝山店）"/>
    <n v="772.45"/>
    <x v="11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s v="蛙小辣火锅杯(五角场店)"/>
    <n v="1478.17"/>
    <x v="115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s v="蛙小辣·美蛙火锅杯(宝山店)"/>
    <n v="1779.61"/>
    <x v="116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s v="蛙小辣火锅杯（宝山店）"/>
    <n v="1340.95"/>
    <x v="117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s v="蛙小辣火锅杯麻辣烫(五角场店)"/>
    <n v="784.71"/>
    <x v="118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s v="蛙小辣·美蛙火锅杯(宝山店)"/>
    <n v="1120.27"/>
    <x v="119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s v="蛙小辣火锅杯（宝山店）"/>
    <n v="1459.54"/>
    <x v="120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s v="蛙小辣火锅杯(五角场店)"/>
    <n v="1389.11"/>
    <x v="121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s v="蛙小辣火锅杯（宝山店）"/>
    <n v="865.17"/>
    <x v="122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s v="蛙小辣火锅杯（宝山店）"/>
    <n v="521.65"/>
    <x v="123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s v="蛙小辣·美蛙火锅杯(宝山店)"/>
    <n v="942.11"/>
    <x v="124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s v="蛙小辣火锅杯（宝山店）"/>
    <n v="626.38"/>
    <x v="125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s v="蛙小辣·美蛙火锅杯(宝山店)"/>
    <n v="1738.67"/>
    <x v="126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s v="蛙小辣火锅杯（宝山店）"/>
    <n v="942.31"/>
    <x v="12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s v="蛙小辣火锅杯(五角场店)"/>
    <n v="1139.1600000000001"/>
    <x v="128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s v="meituan"/>
    <x v="1"/>
    <s v="蛙小辣火锅杯（五角场店）"/>
    <n v="722.17"/>
    <x v="129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s v="eleme"/>
    <x v="0"/>
    <s v="蛙小辣·美蛙火锅杯(宝山店)"/>
    <n v="613.71"/>
    <x v="130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s v="蛙小辣火锅杯（宝山店）"/>
    <n v="699.07"/>
    <x v="131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s v="蛙小辣火锅杯(五角场店)"/>
    <n v="1142.8599999999999"/>
    <x v="132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s v="eleme"/>
    <x v="0"/>
    <s v="蛙小辣·美蛙火锅杯(宝山店)"/>
    <n v="1096.04"/>
    <x v="13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s v="蛙小辣火锅杯（宝山店）"/>
    <n v="867.68"/>
    <x v="134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s v="蛙小辣火锅杯(五角场店)"/>
    <n v="912.99"/>
    <x v="13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s v="eleme"/>
    <x v="0"/>
    <s v="蛙小辣·美蛙火锅杯(宝山店)"/>
    <n v="1093.71"/>
    <x v="136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s v="蛙小辣火锅杯（宝山店）"/>
    <n v="649.5"/>
    <x v="137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s v="蛙小辣火锅杯(五角场店)"/>
    <n v="605.23"/>
    <x v="138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s v="蛙小辣·美蛙火锅杯(宝山店)"/>
    <n v="989.16"/>
    <x v="139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s v="蛙小辣火锅杯（宝山店）"/>
    <n v="1078.27"/>
    <x v="140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s v="蛙小辣火锅杯(五角场店)"/>
    <n v="1154.54"/>
    <x v="141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s v="蛙小辣·美蛙火锅杯(宝山店)"/>
    <n v="816.51"/>
    <x v="142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s v="蛙小辣·美蛙火锅杯(五角场店)"/>
    <n v="1439.93"/>
    <x v="14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s v="蛙小辣火锅杯（宝山店）"/>
    <n v="904.72"/>
    <x v="144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s v="蛙小辣·美蛙火锅杯(宝山店)"/>
    <n v="915.11"/>
    <x v="145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s v="蛙小辣·美蛙火锅杯(五角场店)"/>
    <n v="1581.29"/>
    <x v="146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s v="蛙小辣火锅杯（宝山店）"/>
    <n v="572.22"/>
    <x v="147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s v="蛙小辣·美蛙火锅杯(宝山店)"/>
    <n v="1343.59"/>
    <x v="148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s v="蛙小辣·美蛙火锅杯(五角场店)"/>
    <n v="1160.4100000000001"/>
    <x v="149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s v="蛙小辣火锅杯（宝山店）"/>
    <n v="1122.72"/>
    <x v="150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s v="eleme"/>
    <x v="0"/>
    <s v="蛙小辣·美蛙火锅杯(宝山店)"/>
    <n v="1232.58"/>
    <x v="151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s v="蛙小辣·美蛙火锅杯(五角场店)"/>
    <n v="925.98"/>
    <x v="152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s v="蛙小辣火锅杯（宝山店）"/>
    <n v="1581.67"/>
    <x v="153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s v="蛙小辣·美蛙火锅杯(五角场店)"/>
    <n v="1624.43"/>
    <x v="154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s v="蛙小辣·美蛙火锅杯麻辣烫(宝山店)"/>
    <n v="2244.4"/>
    <x v="155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s v="蛙小辣火锅杯（宝山店）"/>
    <n v="1550.12"/>
    <x v="156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s v="蛙小辣·美蛙火锅杯(五角场店)"/>
    <n v="628.23"/>
    <x v="157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s v="蛙小辣·美蛙火锅杯麻辣烫(宝山店)"/>
    <n v="1394.61"/>
    <x v="158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s v="meituan"/>
    <x v="1"/>
    <s v="蛙小辣火锅杯（宝山店）"/>
    <n v="434.58"/>
    <x v="159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s v="蛙小辣·美蛙火锅杯(五角场店)"/>
    <n v="969.22"/>
    <x v="160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s v="蛙小辣·美蛙火锅杯麻辣烫(宝山店)"/>
    <n v="732.99"/>
    <x v="16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s v="蛙小辣火锅杯（宝山店）"/>
    <n v="1028.3399999999999"/>
    <x v="16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s v="蛙小辣·美蛙火锅杯(五角场店)"/>
    <n v="1244.75"/>
    <x v="163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s v="蛙小辣·美蛙火锅杯麻辣烫(宝山店)"/>
    <n v="1548.92"/>
    <x v="164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s v="蛙小辣火锅杯（宝山店）"/>
    <n v="1252.94"/>
    <x v="165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s v="蛙小辣·美蛙火锅杯(五角场店)"/>
    <n v="1442.36"/>
    <x v="166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s v="eleme"/>
    <x v="0"/>
    <s v="蛙小辣·美蛙火锅杯麻辣烫(宝山店)"/>
    <n v="1541.06"/>
    <x v="167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s v="蛙小辣火锅杯（宝山店）"/>
    <n v="1037.31"/>
    <x v="168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s v="蛙小辣·美蛙火锅杯(五角场店)"/>
    <n v="916.39"/>
    <x v="169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s v="蛙小辣·美蛙火锅杯麻辣烫(宝山店)"/>
    <n v="1377.46"/>
    <x v="170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s v="蛙小辣火锅杯（宝山店）"/>
    <n v="1131.1300000000001"/>
    <x v="171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s v="蛙小辣·美蛙火锅杯麻辣烫(宝山店)"/>
    <n v="1043.3499999999999"/>
    <x v="172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s v="蛙小辣·美蛙火锅杯麻辣烫(五角场店)"/>
    <n v="1144.9100000000001"/>
    <x v="173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s v="meituan"/>
    <x v="1"/>
    <s v="蛙小辣火锅杯（宝山店）"/>
    <n v="1996.39"/>
    <x v="17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s v="蛙小辣·美蛙火锅杯麻辣烫(宝山店)"/>
    <n v="1304.3399999999999"/>
    <x v="175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s v="蛙小辣·美蛙火锅杯麻辣烫(五角场店)"/>
    <n v="1102.18"/>
    <x v="176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s v="meituan"/>
    <x v="1"/>
    <s v="蛙小辣火锅杯（宝山店）"/>
    <n v="1260.33"/>
    <x v="177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s v="蛙小辣·美蛙火锅杯麻辣烫(宝山店)"/>
    <n v="1018.93"/>
    <x v="17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s v="蛙小辣·美蛙火锅杯麻辣烫(五角场店)"/>
    <n v="1255.31"/>
    <x v="179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s v="蛙小辣火锅杯（宝山店）"/>
    <n v="1190.5999999999999"/>
    <x v="180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s v="蛙小辣·美蛙火锅杯麻辣烫(宝山店)"/>
    <n v="1381.03"/>
    <x v="181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s v="蛙小辣·美蛙火锅杯麻辣烫(五角场店)"/>
    <n v="998.14"/>
    <x v="182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s v="蛙小辣火锅杯（宝山店）"/>
    <n v="1114.4100000000001"/>
    <x v="183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s v="蛙小辣火锅杯（五角场店）"/>
    <n v="689.82"/>
    <x v="184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s v="蛙小辣·美蛙火锅杯麻辣烫(宝山店)"/>
    <n v="1309.72"/>
    <x v="185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s v="蛙小辣·美蛙火锅杯麻辣烫(五角场店)"/>
    <n v="1213"/>
    <x v="186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s v="蛙小辣火锅杯（宝山店）"/>
    <n v="1968.36"/>
    <x v="18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s v="蛙小辣火锅杯（五角场店）"/>
    <n v="476.4"/>
    <x v="188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s v="蛙小辣·美蛙火锅杯麻辣烫(宝山店)"/>
    <n v="1381.09"/>
    <x v="189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s v="蛙小辣·美蛙火锅杯麻辣烫(五角场店)"/>
    <n v="1060.02"/>
    <x v="190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s v="蛙小辣火锅杯（宝山店）"/>
    <n v="1101.4000000000001"/>
    <x v="191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s v="蛙小辣火锅杯（五角场店）"/>
    <n v="562.64"/>
    <x v="192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s v="蛙小辣·美蛙火锅杯麻辣烫(宝山店)"/>
    <n v="1122.81"/>
    <x v="193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s v="蛙小辣·美蛙火锅杯麻辣烫（五角场店）"/>
    <n v="682.13"/>
    <x v="194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s v="蛙小辣·美蛙火锅杯麻辣烫(五角场店)"/>
    <n v="1255.4100000000001"/>
    <x v="195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s v="蛙小辣火锅杯（宝山店）"/>
    <n v="1147.7"/>
    <x v="196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s v="蛙小辣·美蛙火锅杯麻辣烫(宝山店)"/>
    <n v="1316.44"/>
    <x v="197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s v="蛙小辣·美蛙火锅杯麻辣烫(五角场店)"/>
    <n v="1035"/>
    <x v="198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s v="蛙小辣火锅杯（宝山店）"/>
    <n v="1774.86"/>
    <x v="199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s v="蛙小辣·美蛙火锅杯麻辣烫(宝山店)"/>
    <n v="1612.33"/>
    <x v="200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s v="蛙小辣·美蛙火锅杯麻辣烫(五角场店)"/>
    <n v="784.28"/>
    <x v="201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s v="蛙小辣火锅杯（宝山店）"/>
    <n v="1641.93"/>
    <x v="202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s v="蛙小辣·美蛙火锅杯麻辣烫(宝山店)"/>
    <n v="2393.9299999999998"/>
    <x v="203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s v="蛙小辣火锅杯（宝山店）"/>
    <n v="771.92"/>
    <x v="20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s v="eleme"/>
    <x v="0"/>
    <s v="蛙小辣·美蛙火锅杯麻辣烫(宝山店)"/>
    <n v="1088.92"/>
    <x v="205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s v="蛙小辣·美蛙火锅杯麻辣烫(五角场店)"/>
    <n v="939.51"/>
    <x v="206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s v="蛙小辣火锅杯（宝山店）"/>
    <n v="1645.35"/>
    <x v="207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s v="蛙小辣·美蛙火锅杯麻辣烫(宝山店)"/>
    <n v="1299.9100000000001"/>
    <x v="208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s v="蛙小辣·美蛙火锅杯麻辣烫(五角场店)"/>
    <n v="654"/>
    <x v="209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s v="蛙小辣火锅杯（宝山店）"/>
    <n v="2096.54"/>
    <x v="210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s v="蛙小辣·美蛙火锅杯麻辣烫(宝山店)"/>
    <n v="1956.95"/>
    <x v="211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s v="蛙小辣·美蛙火锅杯麻辣烫(五角场店)"/>
    <n v="1126.08"/>
    <x v="212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s v="蛙小辣火锅杯（宝山店）"/>
    <n v="1160.52"/>
    <x v="213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s v="蛙小辣·美蛙火锅杯麻辣烫(宝山店)"/>
    <n v="1547.39"/>
    <x v="214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s v="蛙小辣·美蛙火锅杯麻辣烫(五角场店)"/>
    <n v="754.7"/>
    <x v="215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s v="蛙小辣火锅杯（宝山店）"/>
    <n v="1216.56"/>
    <x v="216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s v="蛙小辣·美蛙火锅杯麻辣烫(宝山店)"/>
    <n v="753.97"/>
    <x v="21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s v="蛙小辣·美蛙火锅杯麻辣烫(五角场店)"/>
    <n v="500.94"/>
    <x v="218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s v="蛙小辣火锅杯（宝山店）"/>
    <n v="1838.31"/>
    <x v="219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s v="eleme"/>
    <x v="0"/>
    <s v="蛙小辣·美蛙火锅杯麻辣烫(宝山店)"/>
    <n v="812.12"/>
    <x v="220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s v="蛙小辣火锅杯（宝山店）"/>
    <n v="1398.73"/>
    <x v="22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s v="蛙小辣·美蛙火锅杯麻辣烫(宝山店)"/>
    <n v="423.09"/>
    <x v="222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s v="蛙小辣火锅杯（宝山店）"/>
    <n v="2279.29"/>
    <x v="22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s v="蛙小辣·美蛙火锅杯麻辣烫(宝山店)"/>
    <n v="1217.47"/>
    <x v="224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s v="蛙小辣火锅杯（宝山店）"/>
    <n v="1266.68"/>
    <x v="225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s v="蛙小辣·美蛙火锅杯麻辣烫(宝山店)"/>
    <n v="1257.0999999999999"/>
    <x v="226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s v="meituan"/>
    <x v="1"/>
    <s v="蛙小辣火锅杯（宝山店）"/>
    <n v="971.14"/>
    <x v="227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s v="蛙小辣·美蛙火锅杯麻辣烫(宝山店)"/>
    <n v="1270.51"/>
    <x v="228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s v="蛙小辣·美蛙火锅杯麻辣烫(宝山店)"/>
    <n v="1088.55"/>
    <x v="229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s v="蛙小辣火锅杯（宝山店）"/>
    <n v="0"/>
    <x v="23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s v="蛙小辣·美蛙火锅杯麻辣烫(宝山店)"/>
    <n v="1512.86"/>
    <x v="231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s v="蛙小辣火锅杯（宝山店）"/>
    <n v="0"/>
    <x v="23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s v="蛙小辣·美蛙火锅杯麻辣烫(宝山店)"/>
    <n v="1446.19"/>
    <x v="232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s v="蛙小辣火锅杯（宝山店）"/>
    <n v="0"/>
    <x v="23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s v="拌客干拌麻辣烫(武宁路店)"/>
    <n v="1481.46"/>
    <x v="233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s v="蛙小辣·美蛙火锅杯麻辣烫(宝山店)"/>
    <n v="1772.64"/>
    <x v="234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s v="蛙小辣火锅杯（宝山店）"/>
    <n v="0"/>
    <x v="23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s v="eleme"/>
    <x v="0"/>
    <s v="拌客干拌麻辣烫(武宁路店)"/>
    <n v="2432.3000000000002"/>
    <x v="2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s v="蛙小辣·美蛙火锅杯麻辣烫(宝山店)"/>
    <n v="1204.7"/>
    <x v="236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s v="蛙小辣火锅杯（宝山店）"/>
    <n v="0"/>
    <x v="23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s v="拌客·干拌麻辣烫(武宁路店)"/>
    <n v="3397.32"/>
    <x v="237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s v="蛙小辣·美蛙火锅杯麻辣烫(宝山店)"/>
    <n v="1679.15"/>
    <x v="238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s v="meituan"/>
    <x v="1"/>
    <s v="蛙小辣火锅杯（宝山店）"/>
    <n v="0"/>
    <x v="23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s v="拌客·干拌麻辣烫(武宁路店)"/>
    <n v="2978.46"/>
    <x v="239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s v="蛙小辣·美蛙火锅杯麻辣烫(宝山店)"/>
    <n v="1980.86"/>
    <x v="240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s v="蛙小辣火锅杯（宝山店）"/>
    <n v="1228.8"/>
    <x v="241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s v="拌客·干拌麻辣烫(武宁路店)"/>
    <n v="4054.28"/>
    <x v="242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s v="蛙小辣·美蛙火锅杯麻辣烫(宝山店)"/>
    <n v="1614.63"/>
    <x v="243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s v="蛙小辣火锅杯（宝山店）"/>
    <n v="1702.43"/>
    <x v="244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s v="拌客·干拌麻辣烫(武宁路店)"/>
    <n v="4838.26"/>
    <x v="245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s v="蛙小辣·美蛙火锅杯麻辣烫(宝山店)"/>
    <n v="1428.49"/>
    <x v="246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s v="蛙小辣火锅杯（宝山店）"/>
    <n v="1416.87"/>
    <x v="247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s v="拌客·干拌麻辣烫(武宁路店)"/>
    <n v="3843.94"/>
    <x v="248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s v="蛙小辣·美蛙火锅杯麻辣烫(宝山店)"/>
    <n v="1436"/>
    <x v="249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s v="蛙小辣火锅杯（宝山店）"/>
    <n v="1081.05"/>
    <x v="250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s v="拌客·干拌麻辣烫(武宁路店)"/>
    <n v="4531.12"/>
    <x v="251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s v="蛙小辣·美蛙火锅杯麻辣烫(宝山店)"/>
    <n v="1080.22"/>
    <x v="25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s v="蛙小辣火锅杯（宝山店）"/>
    <n v="1279.46"/>
    <x v="253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s v="拌客·干拌麻辣烫(武宁路店)"/>
    <n v="4559.76"/>
    <x v="25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s v="蛙小辣·美蛙火锅杯麻辣烫(宝山店)"/>
    <n v="1353.97"/>
    <x v="255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s v="蛙小辣火锅杯（宝山店）"/>
    <n v="1010.16"/>
    <x v="256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s v="拌客·干拌麻辣烫(武宁路店)"/>
    <n v="6077.68"/>
    <x v="257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s v="蛙小辣·美蛙火锅杯麻辣烫(宝山店)"/>
    <n v="1652.9"/>
    <x v="258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s v="蛙小辣火锅杯（宝山店）"/>
    <n v="1078.1400000000001"/>
    <x v="259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s v="拌客·干拌麻辣烫(武宁路店)"/>
    <n v="5724.72"/>
    <x v="260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s v="蛙小辣·美蛙火锅杯麻辣烫(宝山店)"/>
    <n v="1284.21"/>
    <x v="26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s v="蛙小辣火锅杯（宝山店）"/>
    <n v="1301.3"/>
    <x v="262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s v="拌客·干拌麻辣烫(武宁路店)"/>
    <n v="5849.3"/>
    <x v="263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s v="蛙小辣·美蛙火锅杯麻辣烫(宝山店)"/>
    <n v="1022.18"/>
    <x v="264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s v="蛙小辣火锅杯（宝山店）"/>
    <n v="1218.28"/>
    <x v="265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s v="拌客·干拌麻辣烫(武宁路店)"/>
    <n v="7174.94"/>
    <x v="266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s v="蛙小辣·美蛙火锅杯麻辣烫(宝山店)"/>
    <n v="904.57"/>
    <x v="267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s v="蛙小辣火锅杯（宝山店）"/>
    <n v="1680.79"/>
    <x v="268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s v="拌客·干拌麻辣烫(武宁路店)"/>
    <n v="4405.0600000000004"/>
    <x v="269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s v="蛙小辣·美蛙火锅杯麻辣烫(宝山店)"/>
    <n v="681.8"/>
    <x v="270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s v="蛙小辣火锅杯（宝山店）"/>
    <n v="1255.1600000000001"/>
    <x v="271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s v="拌客·干拌麻辣烫(武宁路店)"/>
    <n v="5858.64"/>
    <x v="272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s v="蛙小辣·美蛙火锅杯麻辣烫(宝山店)"/>
    <n v="1592.9"/>
    <x v="273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s v="蛙小辣火锅杯（宝山店）"/>
    <n v="1243.21"/>
    <x v="274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s v="拌客·干拌麻辣烫(武宁路店)"/>
    <n v="7527.96"/>
    <x v="275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s v="蛙小辣·美蛙火锅杯麻辣烫(宝山店)"/>
    <n v="724.8"/>
    <x v="276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s v="蛙小辣火锅杯（宝山店）"/>
    <n v="888.55"/>
    <x v="277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s v="拌客·干拌麻辣烫(武宁路店)"/>
    <n v="9230.5400000000009"/>
    <x v="278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s v="蛙小辣·美蛙火锅杯麻辣烫(宝山店)"/>
    <n v="1203.94"/>
    <x v="279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s v="蛙小辣火锅杯（宝山店）"/>
    <n v="798.86"/>
    <x v="280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s v="拌客·干拌麻辣烫(武宁路店)"/>
    <n v="8404.02"/>
    <x v="281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s v="蛙小辣·美蛙火锅杯麻辣烫(宝山店)"/>
    <n v="600.83000000000004"/>
    <x v="28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s v="蛙小辣火锅杯（宝山店）"/>
    <n v="750.51"/>
    <x v="283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s v="拌客·干拌麻辣烫(武宁路店)"/>
    <n v="7598.3"/>
    <x v="284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s v="蛙小辣·美蛙火锅杯麻辣烫(宝山店)"/>
    <n v="783.5"/>
    <x v="285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s v="蛙小辣火锅杯（宝山店）"/>
    <n v="1278.8800000000001"/>
    <x v="28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s v="拌客·干拌麻辣烫(武宁路店)"/>
    <n v="8633"/>
    <x v="287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s v="蛙小辣·美蛙火锅杯麻辣烫(宝山店)"/>
    <n v="1145.81"/>
    <x v="288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s v="蛙小辣火锅杯（宝山店）"/>
    <n v="612.80999999999995"/>
    <x v="289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s v="拌客·干拌麻辣烫(武宁路店)"/>
    <n v="8992.48"/>
    <x v="290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s v="eleme"/>
    <x v="0"/>
    <s v="蛙小辣·美蛙火锅杯麻辣烫(宝山店)"/>
    <n v="1713.99"/>
    <x v="291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s v="蛙小辣火锅杯（宝山店）"/>
    <n v="1606.52"/>
    <x v="292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s v="拌客·干拌麻辣烫(武宁路店)"/>
    <n v="7903.2"/>
    <x v="293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s v="蛙小辣·美蛙火锅杯麻辣烫(宝山店)"/>
    <n v="1237.56"/>
    <x v="294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s v="蛙小辣火锅杯（宝山店）"/>
    <n v="1211.8499999999999"/>
    <x v="295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s v="拌客·干拌麻辣烫(武宁路店)"/>
    <n v="8847.58"/>
    <x v="296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s v="蛙小辣·美蛙火锅杯麻辣烫(宝山店)"/>
    <n v="1093.08"/>
    <x v="297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s v="蛙小辣火锅杯（宝山店）"/>
    <n v="1131.45"/>
    <x v="298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s v="拌客·干拌麻辣烫(武宁路店)"/>
    <n v="9614.5"/>
    <x v="299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s v="蛙小辣·美蛙火锅杯麻辣烫(宝山店)"/>
    <n v="1171.1600000000001"/>
    <x v="300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s v="蛙小辣火锅杯（宝山店）"/>
    <n v="839.37"/>
    <x v="301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s v="拌客·干拌麻辣烫(武宁路店)"/>
    <n v="9423.76"/>
    <x v="302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s v="蛙小辣·美蛙火锅杯麻辣烫(宝山店)"/>
    <n v="1373.93"/>
    <x v="303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s v="meituan"/>
    <x v="1"/>
    <s v="蛙小辣火锅杯（宝山店）"/>
    <n v="1220.3699999999999"/>
    <x v="304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s v="拌客·干拌麻辣烫(武宁路店)"/>
    <n v="11012.76"/>
    <x v="305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s v="蛙小辣·美蛙火锅杯麻辣烫(宝山店)"/>
    <n v="1371.05"/>
    <x v="306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s v="蛙小辣火锅杯（宝山店）"/>
    <n v="1474.39"/>
    <x v="307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s v="拌客·干拌麻辣烫(武宁路店)"/>
    <n v="7396.28"/>
    <x v="308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s v="蛙小辣·美蛙火锅杯麻辣烫(宝山店)"/>
    <n v="1987.12"/>
    <x v="30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s v="蛙小辣火锅杯（宝山店）"/>
    <n v="1143.3399999999999"/>
    <x v="310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s v="拌客·干拌麻辣烫(武宁路店)"/>
    <n v="8589.2999999999993"/>
    <x v="311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s v="蛙小辣·美蛙火锅杯麻辣烫(宝山店)"/>
    <n v="1179.8800000000001"/>
    <x v="3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s v="蛙小辣火锅杯（宝山店）"/>
    <n v="1118.3900000000001"/>
    <x v="313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s v="拌客·干拌麻辣烫(武宁路店)"/>
    <n v="8415.34"/>
    <x v="314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s v="eleme"/>
    <x v="0"/>
    <s v="蛙小辣·美蛙火锅杯麻辣烫(宝山店)"/>
    <n v="1167.1400000000001"/>
    <x v="315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s v="蛙小辣火锅杯（宝山店）"/>
    <n v="412.69"/>
    <x v="316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s v="拌客·干拌麻辣烫(武宁路店)"/>
    <n v="6646.12"/>
    <x v="317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s v="蛙小辣·美蛙火锅杯麻辣烫(宝山店)"/>
    <n v="1111.3"/>
    <x v="318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s v="蛙小辣火锅杯（宝山店）"/>
    <n v="663.67"/>
    <x v="319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s v="拌客·干拌麻辣烫(武宁路店)"/>
    <n v="7555.66"/>
    <x v="320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s v="蛙小辣·美蛙火锅杯麻辣烫(宝山店)"/>
    <n v="1009.49"/>
    <x v="321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s v="蛙小辣火锅杯（宝山店）"/>
    <n v="893.69"/>
    <x v="322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s v="拌客·干拌麻辣烫(武宁路店)"/>
    <n v="7359.1"/>
    <x v="32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s v="蛙小辣·美蛙火锅杯麻辣烫(宝山店)"/>
    <n v="1115.02"/>
    <x v="324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s v="拌客·干拌麻辣烫(武宁路店)"/>
    <n v="6686.34"/>
    <x v="325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s v="蛙小辣·美蛙火锅杯麻辣烫(宝山店)"/>
    <n v="1074.9100000000001"/>
    <x v="32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s v="拌客·干拌麻辣烫(武宁路店)"/>
    <n v="7506.96"/>
    <x v="327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s v="蛙小辣·美蛙火锅杯麻辣烫(宝山店)"/>
    <n v="1048.17"/>
    <x v="32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s v="蛙小辣火锅杯（宝山店）"/>
    <n v="1309.0899999999999"/>
    <x v="329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s v="拌客·干拌麻辣烫(武宁路店)"/>
    <n v="5435.2"/>
    <x v="330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s v="蛙小辣·美蛙火锅杯麻辣烫(宝山店)"/>
    <n v="683.97"/>
    <x v="331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s v="蛙小辣火锅杯（宝山店）"/>
    <n v="1246.8800000000001"/>
    <x v="332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s v="拌客·干拌麻辣烫(武宁路店)"/>
    <n v="5645.9"/>
    <x v="333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s v="蛙小辣·美蛙火锅杯麻辣烫(宝山店)"/>
    <n v="921.67"/>
    <x v="334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s v="蛙小辣火锅杯（宝山店）"/>
    <n v="926.36"/>
    <x v="335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s v="拌客·干拌麻辣烫(武宁路店)"/>
    <n v="6062.04"/>
    <x v="336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s v="蛙小辣·美蛙火锅杯麻辣烫(宝山店)"/>
    <n v="1028.98"/>
    <x v="337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s v="蛙小辣火锅杯（宝山店）"/>
    <n v="1188.56"/>
    <x v="338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s v="拌客·干拌麻辣烫(武宁路店)"/>
    <n v="6308.08"/>
    <x v="339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s v="蛙小辣·美蛙火锅杯麻辣烫(宝山店)"/>
    <n v="1225.9100000000001"/>
    <x v="340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s v="蛙小辣火锅杯（宝山店）"/>
    <n v="1023.08"/>
    <x v="341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s v="拌客·干拌麻辣烫(武宁路店)"/>
    <n v="7264.28"/>
    <x v="342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s v="蛙小辣·美蛙火锅杯麻辣烫(宝山店)"/>
    <n v="1249.05"/>
    <x v="343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s v="蛙小辣火锅杯（宝山店）"/>
    <n v="621.87"/>
    <x v="344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s v="拌客·干拌麻辣烫(武宁路店)"/>
    <n v="6747.18"/>
    <x v="345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s v="蛙小辣·美蛙火锅杯麻辣烫(宝山店)"/>
    <n v="1114.76"/>
    <x v="346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s v="蛙小辣火锅杯（宝山店）"/>
    <n v="726.48"/>
    <x v="347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s v="拌客·干拌麻辣烫(武宁路店)"/>
    <n v="7206.96"/>
    <x v="348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s v="蛙小辣·美蛙火锅杯麻辣烫(宝山店)"/>
    <n v="776.34"/>
    <x v="349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s v="蛙小辣火锅杯（宝山店）"/>
    <n v="1345.21"/>
    <x v="350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s v="eleme"/>
    <x v="0"/>
    <s v="拌客·干拌麻辣烫(武宁路店)"/>
    <n v="5097.66"/>
    <x v="351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s v="蛙小辣·美蛙火锅杯麻辣烫(宝山店)"/>
    <n v="884.92"/>
    <x v="35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s v="蛙小辣火锅杯（宝山店）"/>
    <n v="849.23"/>
    <x v="353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s v="拌客·干拌麻辣烫(武宁路店)"/>
    <n v="4318.16"/>
    <x v="354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s v="蛙小辣·美蛙火锅杯麻辣烫(宝山店)"/>
    <n v="623.66"/>
    <x v="355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s v="蛙小辣火锅杯（宝山店）"/>
    <n v="372.7"/>
    <x v="356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s v="拌客·干拌麻辣烫(武宁路店)"/>
    <n v="5131.1400000000003"/>
    <x v="357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s v="蛙小辣·美蛙火锅杯麻辣烫(宝山店)"/>
    <n v="728.88"/>
    <x v="358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s v="蛙小辣火锅杯（宝山店）"/>
    <n v="738.79"/>
    <x v="359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s v="拌客·干拌麻辣烫(武宁路店)"/>
    <n v="5989.36"/>
    <x v="360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s v="蛙小辣·美蛙火锅杯麻辣烫(宝山店)"/>
    <n v="557.08000000000004"/>
    <x v="361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s v="蛙小辣火锅杯（宝山店）"/>
    <n v="841.7"/>
    <x v="362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s v="拌客·干拌麻辣烫(武宁路店)"/>
    <n v="6057.96"/>
    <x v="363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s v="蛙小辣·美蛙火锅杯麻辣烫(宝山店)"/>
    <n v="822.57"/>
    <x v="364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s v="蛙小辣火锅杯（宝山店）"/>
    <n v="792.65"/>
    <x v="365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s v="拌客·干拌麻辣烫(武宁路店)"/>
    <n v="3726.24"/>
    <x v="366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s v="蛙小辣·美蛙火锅杯麻辣烫(宝山店)"/>
    <n v="1444.26"/>
    <x v="36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s v="蛙小辣火锅杯（宝山店）"/>
    <n v="843.64"/>
    <x v="368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s v="拌客·干拌麻辣烫(武宁路店)"/>
    <n v="3968.66"/>
    <x v="369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s v="蛙小辣·美蛙火锅杯麻辣烫(宝山店)"/>
    <n v="1230.6400000000001"/>
    <x v="370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s v="蛙小辣火锅杯（宝山店）"/>
    <n v="569.04"/>
    <x v="37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s v="拌客·干拌麻辣烫(武宁路店)"/>
    <n v="5250.46"/>
    <x v="372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s v="蛙小辣·美蛙火锅杯麻辣烫(宝山店)"/>
    <n v="1641.73"/>
    <x v="373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s v="meituan"/>
    <x v="1"/>
    <s v="蛙小辣火锅杯（宝山店）"/>
    <n v="1067.8399999999999"/>
    <x v="374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s v="拌客·干拌麻辣烫(武宁路店)"/>
    <n v="4908.66"/>
    <x v="375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s v="蛙小辣·美蛙火锅杯麻辣烫(宝山店)"/>
    <n v="1501.9"/>
    <x v="376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s v="蛙小辣火锅杯（宝山店）"/>
    <n v="856.82"/>
    <x v="377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s v="拌客·干拌麻辣烫(武宁路店)"/>
    <n v="4302.28"/>
    <x v="378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s v="蛙小辣·美蛙火锅杯麻辣烫(宝山店)"/>
    <n v="619.76"/>
    <x v="379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s v="meituan"/>
    <x v="1"/>
    <s v="蛙小辣火锅杯（宝山店）"/>
    <n v="888.53"/>
    <x v="380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s v="拌客·干拌麻辣烫(武宁路店)"/>
    <n v="4423.18"/>
    <x v="38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s v="eleme"/>
    <x v="0"/>
    <s v="蛙小辣·美蛙火锅杯麻辣烫(宝山店)"/>
    <n v="1034.82"/>
    <x v="382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s v="蛙小辣火锅杯（宝山店）"/>
    <n v="931.71"/>
    <x v="383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s v="eleme"/>
    <x v="0"/>
    <s v="拌客·干拌麻辣烫(武宁路店)"/>
    <n v="3824.26"/>
    <x v="384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s v="蛙小辣·美蛙火锅杯麻辣烫(宝山店)"/>
    <n v="1168.8399999999999"/>
    <x v="385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s v="蛙小辣火锅杯（宝山店）"/>
    <n v="1008.28"/>
    <x v="386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s v="拌客·干拌麻辣烫(武宁路店)"/>
    <n v="4943.76"/>
    <x v="387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s v="蛙小辣·美蛙火锅杯麻辣烫(宝山店)"/>
    <n v="1257.6099999999999"/>
    <x v="388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s v="蛙小辣火锅杯（宝山店）"/>
    <n v="1023.39"/>
    <x v="389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s v="拌客·干拌麻辣烫(武宁路店)"/>
    <n v="3219.04"/>
    <x v="390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s v="蛙小辣·美蛙火锅杯麻辣烫(宝山店)"/>
    <n v="1066.54"/>
    <x v="39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s v="蛙小辣火锅杯（宝山店）"/>
    <n v="999.86"/>
    <x v="392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s v="eleme"/>
    <x v="0"/>
    <s v="拌客·干拌麻辣烫(武宁路店)"/>
    <n v="2946.86"/>
    <x v="393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s v="蛙小辣·美蛙火锅杯麻辣烫(宝山店)"/>
    <n v="1034.2"/>
    <x v="394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s v="meituan"/>
    <x v="1"/>
    <s v="蛙小辣火锅杯（宝山店）"/>
    <n v="1144.82"/>
    <x v="395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s v="拌客·干拌麻辣烫(武宁路店)"/>
    <n v="2690.46"/>
    <x v="396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s v="蛙小辣·美蛙火锅杯麻辣烫(宝山店)"/>
    <n v="927.85"/>
    <x v="397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s v="蛙小辣火锅杯（宝山店）"/>
    <n v="755.47"/>
    <x v="73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s v="蛙小辣·美蛙火锅杯麻辣烫(宝山店)"/>
    <n v="978.89"/>
    <x v="398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s v="蛙小辣火锅杯（宝山店）"/>
    <n v="1171.43"/>
    <x v="399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s v="拌客·干拌麻辣烫(武宁路店)"/>
    <n v="3240.96"/>
    <x v="400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s v="蛙小辣·美蛙火锅杯麻辣烫(宝山店)"/>
    <n v="781.55"/>
    <x v="401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s v="蛙小辣火锅杯（宝山店）"/>
    <n v="742.2"/>
    <x v="402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s v="拌客·干拌麻辣烫(武宁路店)"/>
    <n v="3378.12"/>
    <x v="403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s v="拌客干拌麻辣烫（武宁路店）"/>
    <n v="4978.66"/>
    <x v="404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s v="蛙小辣·美蛙火锅杯麻辣烫(宝山店)"/>
    <n v="1230.72"/>
    <x v="405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s v="meituan"/>
    <x v="1"/>
    <s v="蛙小辣火锅杯（宝山店）"/>
    <n v="605.22"/>
    <x v="406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s v="拌客·干拌麻辣烫(武宁路店)"/>
    <n v="3427.6"/>
    <x v="40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s v="拌客干拌麻辣烫（武宁路店）"/>
    <n v="4772.74"/>
    <x v="40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s v="蛙小辣·美蛙火锅杯麻辣烫(宝山店)"/>
    <n v="960.69"/>
    <x v="409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s v="meituan"/>
    <x v="1"/>
    <s v="蛙小辣火锅杯（宝山店）"/>
    <n v="766.23"/>
    <x v="410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s v="拌客·干拌麻辣烫(武宁路店)"/>
    <n v="2797.24"/>
    <x v="411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s v="拌客干拌麻辣烫（武宁路店）"/>
    <n v="4644.68"/>
    <x v="412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s v="蛙小辣·美蛙火锅杯麻辣烫(宝山店)"/>
    <n v="1658.28"/>
    <x v="413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s v="蛙小辣火锅杯（宝山店）"/>
    <n v="813"/>
    <x v="414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s v="拌客·干拌麻辣烫(武宁路店)"/>
    <n v="2584.6799999999998"/>
    <x v="415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s v="拌客干拌麻辣烫（武宁路店）"/>
    <n v="3374.12"/>
    <x v="416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s v="蛙小辣·美蛙火锅杯麻辣烫(宝山店)"/>
    <n v="801.72"/>
    <x v="417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s v="蛙小辣火锅杯（宝山店）"/>
    <n v="802.14"/>
    <x v="418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s v="拌客·干拌麻辣烫(武宁路店)"/>
    <n v="1839.2"/>
    <x v="419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s v="拌客干拌麻辣烫（武宁路店）"/>
    <n v="2967.4"/>
    <x v="420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s v="蛙小辣·美蛙火锅杯麻辣烫(宝山店)"/>
    <n v="981.76"/>
    <x v="421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s v="蛙小辣火锅杯（宝山店）"/>
    <n v="1162.96"/>
    <x v="42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s v="拌客·干拌麻辣烫(武宁路店)"/>
    <n v="2870.86"/>
    <x v="423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s v="meituan"/>
    <x v="1"/>
    <s v="拌客干拌麻辣烫（武宁路店）"/>
    <n v="4035.58"/>
    <x v="424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s v="蛙小辣·美蛙火锅杯麻辣烫(宝山店)"/>
    <n v="865.98"/>
    <x v="425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s v="蛙小辣火锅杯（宝山店）"/>
    <n v="917.18"/>
    <x v="426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s v="拌客·干拌麻辣烫(武宁路店)"/>
    <n v="3212.68"/>
    <x v="42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s v="拌客干拌麻辣烫（武宁路店）"/>
    <n v="5440.48"/>
    <x v="428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s v="蛙小辣·美蛙火锅杯麻辣烫(宝山店)"/>
    <n v="710.3"/>
    <x v="429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s v="meituan"/>
    <x v="1"/>
    <s v="蛙小辣火锅杯（宝山店）"/>
    <n v="1075.7"/>
    <x v="430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s v="拌客·干拌麻辣烫(武宁路店)"/>
    <n v="3539.82"/>
    <x v="431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s v="拌客干拌麻辣烫（武宁路店）"/>
    <n v="7633.74"/>
    <x v="432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s v="蛙小辣·美蛙火锅杯麻辣烫(宝山店)"/>
    <n v="1208.0899999999999"/>
    <x v="433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s v="蛙小辣火锅杯（宝山店）"/>
    <n v="909.68"/>
    <x v="434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s v="拌客·干拌麻辣烫(武宁路店)"/>
    <n v="3405.32"/>
    <x v="43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s v="拌客干拌麻辣烫（武宁路店）"/>
    <n v="6502.66"/>
    <x v="436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s v="蛙小辣·美蛙火锅杯麻辣烫(宝山店)"/>
    <n v="1250.93"/>
    <x v="437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s v="拌客·干拌麻辣烫(武宁路店)"/>
    <n v="3097.62"/>
    <x v="438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s v="拌客干拌麻辣烫（武宁路店）"/>
    <n v="6540.56"/>
    <x v="439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s v="蛙小辣·美蛙火锅杯麻辣烫(宝山店)"/>
    <n v="1150.23"/>
    <x v="440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s v="拌客·干拌麻辣烫(武宁路店)"/>
    <n v="2162.2199999999998"/>
    <x v="441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s v="拌客干拌麻辣烫（武宁路店）"/>
    <n v="3945.32"/>
    <x v="442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s v="蛙小辣·美蛙火锅杯麻辣烫(宝山店)"/>
    <n v="1078.07"/>
    <x v="443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s v="拌客·干拌麻辣烫(武宁路店)"/>
    <n v="1994.08"/>
    <x v="444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s v="拌客干拌麻辣烫（武宁路店）"/>
    <n v="3775.28"/>
    <x v="445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s v="蛙小辣·美蛙火锅杯麻辣烫(宝山店)"/>
    <n v="311.94"/>
    <x v="44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s v="拌客·干拌麻辣烫(武宁路店)"/>
    <n v="3771.52"/>
    <x v="447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s v="拌客干拌麻辣烫（武宁路店）"/>
    <n v="5450.54"/>
    <x v="448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s v="拌客·干拌麻辣烫(武宁路店)"/>
    <n v="3173.74"/>
    <x v="449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s v="拌客干拌麻辣烫（武宁路店）"/>
    <n v="4533.6000000000004"/>
    <x v="450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s v="eleme"/>
    <x v="0"/>
    <s v="蛙小辣·美蛙火锅杯麻辣烫(宝山店)"/>
    <n v="906.2"/>
    <x v="451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s v="拌客·干拌麻辣烫(武宁路店)"/>
    <n v="3558.84"/>
    <x v="452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s v="拌客干拌麻辣烫（武宁路店）"/>
    <n v="5140.9799999999996"/>
    <x v="453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s v="蛙小辣·美蛙火锅杯麻辣烫(宝山店)"/>
    <n v="1185.92"/>
    <x v="454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s v="蛙小辣火锅杯（宝山店）"/>
    <n v="863.77"/>
    <x v="455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s v="拌客·干拌麻辣烫(武宁路店)"/>
    <n v="2769.7"/>
    <x v="456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s v="拌客干拌麻辣烫（武宁路店）"/>
    <n v="5289.66"/>
    <x v="457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s v="蛙小辣·美蛙火锅杯麻辣烫(宝山店)"/>
    <n v="1240.07"/>
    <x v="458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s v="蛙小辣火锅杯（宝山店）"/>
    <n v="1345.44"/>
    <x v="459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s v="拌客·干拌麻辣烫(武宁路店)"/>
    <n v="2791.1"/>
    <x v="460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s v="拌客干拌麻辣烫（武宁路店）"/>
    <n v="5455.66"/>
    <x v="461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s v="蛙小辣·美蛙火锅杯麻辣烫(宝山店)"/>
    <n v="1522.05"/>
    <x v="462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s v="蛙小辣火锅杯（宝山店）"/>
    <n v="1139.06"/>
    <x v="463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s v="拌客·干拌麻辣烫(武宁路店)"/>
    <n v="2446"/>
    <x v="464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s v="蛙小辣火锅杯（宝山店）"/>
    <n v="1491.77"/>
    <x v="465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s v="拌客·干拌麻辣烫(武宁路店)"/>
    <n v="3059.28"/>
    <x v="466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s v="拌客干拌麻辣烫（武宁路店）"/>
    <n v="3700.24"/>
    <x v="467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s v="蛙小辣火锅杯（宝山店）"/>
    <n v="1204.4100000000001"/>
    <x v="468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s v="拌客·干拌麻辣烫(武宁路店)"/>
    <n v="2848.94"/>
    <x v="469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s v="拌客干拌麻辣烫（武宁路店）"/>
    <n v="4271.26"/>
    <x v="470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s v="蛙小辣火锅杯（宝山店）"/>
    <n v="1416.77"/>
    <x v="471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s v="拌客·干拌麻辣烫(武宁路店)"/>
    <n v="4116.74"/>
    <x v="472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s v="拌客干拌麻辣烫（武宁路店）"/>
    <n v="3338.34"/>
    <x v="473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s v="蛙小辣·美蛙火锅杯麻辣烫(宝山店)"/>
    <n v="920.29"/>
    <x v="474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s v="meituan"/>
    <x v="1"/>
    <s v="蛙小辣火锅杯（宝山店）"/>
    <n v="1466.39"/>
    <x v="475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s v="拌客·干拌麻辣烫(武宁路店)"/>
    <n v="3094.72"/>
    <x v="476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s v="拌客干拌麻辣烫（武宁路店）"/>
    <n v="3300.02"/>
    <x v="477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s v="蛙小辣·美蛙火锅杯麻辣烫(宝山店)"/>
    <n v="1024.71"/>
    <x v="478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s v="蛙小辣火锅杯（宝山店）"/>
    <n v="789.09"/>
    <x v="479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s v="拌客·干拌麻辣烫(武宁路店)"/>
    <n v="3651.06"/>
    <x v="480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s v="拌客干拌麻辣烫（武宁路店）"/>
    <n v="3402.26"/>
    <x v="481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s v="蛙小辣·美蛙火锅杯麻辣烫(宝山店)"/>
    <n v="1244.1300000000001"/>
    <x v="482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s v="蛙小辣火锅杯（宝山店）"/>
    <n v="1163.7"/>
    <x v="48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s v="拌客·干拌麻辣烫(武宁路店)"/>
    <n v="3744.96"/>
    <x v="484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s v="拌客干拌麻辣烫（武宁路店）"/>
    <n v="3920.22"/>
    <x v="485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s v="蛙小辣·美蛙火锅杯麻辣烫(宝山店)"/>
    <n v="1177.3599999999999"/>
    <x v="486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s v="meituan"/>
    <x v="1"/>
    <s v="蛙小辣火锅杯（宝山店）"/>
    <n v="1853.47"/>
    <x v="487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s v="拌客·干拌麻辣烫(武宁路店)"/>
    <n v="3093.24"/>
    <x v="488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s v="拌客干拌麻辣烫（武宁路店）"/>
    <n v="2346.3000000000002"/>
    <x v="489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s v="蛙小辣·美蛙火锅杯麻辣烫(宝山店)"/>
    <n v="1231.55"/>
    <x v="490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s v="蛙小辣火锅杯（宝山店）"/>
    <n v="1040.8"/>
    <x v="491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s v="拌客·干拌麻辣烫(武宁路店)"/>
    <n v="2989.62"/>
    <x v="492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s v="拌客干拌麻辣烫（武宁路店）"/>
    <n v="2934.5"/>
    <x v="493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s v="蛙小辣·美蛙火锅杯麻辣烫(宝山店)"/>
    <n v="955.18"/>
    <x v="494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s v="蛙小辣火锅杯（宝山店）"/>
    <n v="1136.29"/>
    <x v="495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s v="拌客·干拌麻辣烫(武宁路店)"/>
    <n v="3067.38"/>
    <x v="496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s v="拌客干拌麻辣烫（武宁路店）"/>
    <n v="2312.94"/>
    <x v="497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s v="蛙小辣·美蛙火锅杯麻辣烫(宝山店)"/>
    <n v="1022.11"/>
    <x v="498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s v="meituan"/>
    <x v="1"/>
    <s v="蛙小辣火锅杯（宝山店）"/>
    <n v="1083.77"/>
    <x v="499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s v="蛙小辣·美蛙火锅杯麻辣烫(宝山店)"/>
    <n v="1167.6600000000001"/>
    <x v="500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s v="蛙小辣火锅杯（宝山店）"/>
    <n v="1617"/>
    <x v="501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s v="蛙小辣·美蛙火锅杯麻辣烫(宝山店)"/>
    <n v="877.66"/>
    <x v="502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s v="蛙小辣火锅杯（宝山店）"/>
    <n v="1817.37"/>
    <x v="503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s v="蛙小辣·美蛙火锅杯麻辣烫(宝山店)"/>
    <n v="963.34"/>
    <x v="504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s v="蛙小辣火锅杯（宝山店）"/>
    <n v="1105.81"/>
    <x v="50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s v="蛙小辣·美蛙火锅杯麻辣烫(宝山店)"/>
    <n v="1459.53"/>
    <x v="506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s v="meituan"/>
    <x v="1"/>
    <s v="蛙小辣火锅杯（宝山店）"/>
    <n v="1145.82"/>
    <x v="50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s v="蛙小辣·美蛙火锅杯麻辣烫(宝山店)"/>
    <n v="532.48"/>
    <x v="508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s v="蛙小辣火锅杯（宝山店）"/>
    <n v="841.93"/>
    <x v="509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s v="eleme"/>
    <x v="0"/>
    <s v="蛙小辣·美蛙火锅杯麻辣烫(宝山店)"/>
    <n v="769.03"/>
    <x v="510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s v="蛙小辣火锅杯（宝山店）"/>
    <n v="1461.14"/>
    <x v="511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s v="蛙小辣·美蛙火锅杯麻辣烫(宝山店)"/>
    <n v="695.55"/>
    <x v="512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s v="蛙小辣火锅杯（宝山店）"/>
    <n v="1538.37"/>
    <x v="513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s v="蛙小辣·美蛙火锅杯麻辣烫(宝山店)"/>
    <n v="1107.25"/>
    <x v="514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s v="蛙小辣火锅杯（宝山店）"/>
    <n v="1252.93"/>
    <x v="515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s v="蛙小辣·美蛙火锅杯麻辣烫(宝山店)"/>
    <n v="875.68"/>
    <x v="516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s v="蛙小辣火锅杯（宝山店）"/>
    <n v="911.86"/>
    <x v="517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s v="eleme"/>
    <x v="0"/>
    <s v="蛙小辣·美蛙火锅杯麻辣烫(宝山店)"/>
    <n v="760.49"/>
    <x v="518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s v="蛙小辣火锅杯（宝山店）"/>
    <n v="1054.44"/>
    <x v="519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s v="蛙小辣·美蛙火锅杯麻辣烫(宝山店)"/>
    <n v="1210.5999999999999"/>
    <x v="520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s v="蛙小辣火锅杯（宝山店）"/>
    <n v="1011.71"/>
    <x v="52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s v="蛙小辣·美蛙火锅杯麻辣烫(宝山店)"/>
    <n v="1389.29"/>
    <x v="522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s v="蛙小辣火锅杯（宝山店）"/>
    <n v="1139.3499999999999"/>
    <x v="523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s v="蛙小辣·美蛙火锅杯麻辣烫(宝山店)"/>
    <n v="886"/>
    <x v="524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s v="蛙小辣火锅杯（宝山店）"/>
    <n v="1164.02"/>
    <x v="525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s v="蛙小辣·美蛙火锅杯麻辣烫(宝山店)"/>
    <n v="1116.4000000000001"/>
    <x v="526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s v="蛙小辣火锅杯（宝山店）"/>
    <n v="979.64"/>
    <x v="182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s v="蛙小辣·美蛙火锅杯麻辣烫(宝山店)"/>
    <n v="954.76"/>
    <x v="52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s v="蛙小辣火锅杯（宝山店）"/>
    <n v="923.86"/>
    <x v="528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s v="蛙小辣·美蛙火锅杯麻辣烫(宝山店)"/>
    <n v="1515.71"/>
    <x v="529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s v="蛙小辣火锅杯（宝山店）"/>
    <n v="1072.98"/>
    <x v="530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s v="蛙小辣·美蛙火锅杯麻辣烫(宝山店)"/>
    <n v="881.23"/>
    <x v="531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s v="蛙小辣火锅杯（宝山店）"/>
    <n v="976.94"/>
    <x v="532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s v="蛙小辣·美蛙火锅杯麻辣烫(宝山店)"/>
    <n v="707.68"/>
    <x v="533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s v="蛙小辣火锅杯（宝山店）"/>
    <n v="1411.11"/>
    <x v="534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s v="蛙小辣·美蛙火锅杯麻辣烫(宝山店)"/>
    <n v="720.95"/>
    <x v="535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s v="meituan"/>
    <x v="1"/>
    <s v="蛙小辣火锅杯（宝山店）"/>
    <n v="1219.2"/>
    <x v="536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s v="蛙小辣·美蛙火锅杯麻辣烫(宝山店)"/>
    <n v="661.55"/>
    <x v="537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s v="蛙小辣火锅杯（宝山店）"/>
    <n v="1094.55"/>
    <x v="538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s v="蛙小辣·美蛙火锅杯麻辣烫(宝山店)"/>
    <n v="622.86"/>
    <x v="53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s v="蛙小辣火锅杯（宝山店）"/>
    <n v="1093.42"/>
    <x v="540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s v="蛙小辣·美蛙火锅杯麻辣烫(宝山店)"/>
    <n v="710.52"/>
    <x v="541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s v="蛙小辣火锅杯（宝山店）"/>
    <n v="1003.88"/>
    <x v="542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s v="蛙小辣火锅杯（宝山店）"/>
    <n v="771.47"/>
    <x v="543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s v="蛙小辣·美蛙火锅杯麻辣烫(宝山店)"/>
    <n v="1199.8"/>
    <x v="544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s v="蛙小辣火锅杯（宝山店）"/>
    <n v="1036.1500000000001"/>
    <x v="545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s v="蛙小辣·美蛙火锅杯麻辣烫(宝山店)"/>
    <n v="2058.86"/>
    <x v="546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s v="蛙小辣火锅杯（宝山店）"/>
    <n v="1343.79"/>
    <x v="547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s v="蛙小辣·美蛙火锅杯麻辣烫(宝山店)"/>
    <n v="946.64"/>
    <x v="548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s v="蛙小辣火锅杯（宝山店）"/>
    <n v="1297.9000000000001"/>
    <x v="54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s v="蛙小辣·美蛙火锅杯麻辣烫(宝山店)"/>
    <n v="768.83"/>
    <x v="550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s v="蛙小辣火锅杯（宝山店）"/>
    <n v="660.37"/>
    <x v="551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s v="蛙小辣·美蛙火锅杯麻辣烫(宝山店)"/>
    <n v="805.97"/>
    <x v="552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s v="蛙小辣火锅杯（宝山店）"/>
    <n v="857.91"/>
    <x v="553"/>
    <n v="908"/>
    <n v="72"/>
    <n v="12"/>
    <n v="0"/>
    <n v="12"/>
    <n v="908"/>
    <n v="72"/>
    <n v="11"/>
    <n v="39.01"/>
    <n v="391"/>
    <n v="28"/>
    <n v="417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DB482-D9BB-4BEE-BD84-EB06BAD503B4}" name="数据透视表4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 chartFormat="2">
  <location ref="A3:C8" firstHeaderRow="0" firstDataRow="1" firstDataCol="1" rowPageCount="1" colPageCount="1"/>
  <pivotFields count="30"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2E8CC-4E00-4C96-80BC-7C1EF50B1679}" name="数据透视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W95:X105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1"/>
    <field x="0"/>
  </rowFields>
  <rowItems count="10">
    <i>
      <x/>
    </i>
    <i r="1">
      <x/>
    </i>
    <i r="1">
      <x v="1"/>
    </i>
    <i r="1">
      <x v="2"/>
    </i>
    <i>
      <x v="1"/>
    </i>
    <i r="1">
      <x/>
    </i>
    <i r="1">
      <x v="3"/>
    </i>
    <i>
      <x v="2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722BD-6E1B-4400-ADF8-D6CE78BAF546}" name="数据透视表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>
  <location ref="O109:P118" firstHeaderRow="1" firstDataRow="1" firstDataCol="1"/>
  <pivotFields count="30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1" xr10:uid="{8AE37B48-7984-4349-A40C-762316465CEF}" sourceName="平台i">
  <pivotTables>
    <pivotTable tabId="28" name="数据透视表4"/>
  </pivotTables>
  <data>
    <tabular pivotCacheId="1807577818">
      <items count="2">
        <i x="1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 1" xr10:uid="{A1B746F4-38E7-4AA1-9212-AC550AB1AE79}" cache="切片器_平台i1" caption="平台i" rowHeight="2095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topLeftCell="E1" workbookViewId="0"/>
  </sheetViews>
  <sheetFormatPr defaultRowHeight="14.25"/>
  <cols>
    <col min="1" max="1" width="10.46484375" style="1" bestFit="1" customWidth="1"/>
    <col min="3" max="3" width="23.46484375" bestFit="1" customWidth="1"/>
    <col min="4" max="4" width="11.59765625" bestFit="1" customWidth="1"/>
    <col min="5" max="5" width="24.46484375" bestFit="1" customWidth="1"/>
    <col min="9" max="9" width="30.1328125" customWidth="1"/>
    <col min="10" max="10" width="8.86328125" customWidth="1"/>
    <col min="11" max="11" width="10.265625" customWidth="1"/>
    <col min="12" max="14" width="12.1328125" customWidth="1"/>
    <col min="15" max="16" width="11" bestFit="1" customWidth="1"/>
    <col min="17" max="19" width="10.265625" customWidth="1"/>
    <col min="20" max="22" width="11.265625" customWidth="1"/>
    <col min="23" max="24" width="10.265625" customWidth="1"/>
  </cols>
  <sheetData>
    <row r="1" spans="1:24">
      <c r="A1" s="1" t="s">
        <v>3</v>
      </c>
      <c r="B1" t="s">
        <v>124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58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14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14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1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14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14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14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14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151</v>
      </c>
      <c r="D9" t="s">
        <v>45</v>
      </c>
      <c r="E9" t="s">
        <v>21</v>
      </c>
      <c r="F9" s="14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A1:X562" xr:uid="{E0942033-AF8A-492B-A35C-ABA2A3AA8982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C739-38EB-43B6-B2E7-958193B1F73D}">
  <sheetPr>
    <tabColor rgb="FFFFC000"/>
  </sheetPr>
  <dimension ref="A1:C8"/>
  <sheetViews>
    <sheetView workbookViewId="0"/>
  </sheetViews>
  <sheetFormatPr defaultRowHeight="14.25"/>
  <cols>
    <col min="1" max="1" width="23.3984375" bestFit="1" customWidth="1"/>
    <col min="2" max="2" width="11.06640625" bestFit="1" customWidth="1"/>
    <col min="3" max="3" width="14.86328125" bestFit="1" customWidth="1"/>
    <col min="4" max="4" width="23" bestFit="1" customWidth="1"/>
  </cols>
  <sheetData>
    <row r="1" spans="1:3">
      <c r="A1" s="18" t="s">
        <v>10</v>
      </c>
      <c r="B1" t="s">
        <v>22</v>
      </c>
    </row>
    <row r="3" spans="1:3">
      <c r="A3" s="18" t="s">
        <v>152</v>
      </c>
      <c r="B3" t="s">
        <v>129</v>
      </c>
      <c r="C3" t="s">
        <v>140</v>
      </c>
    </row>
    <row r="4" spans="1:3">
      <c r="A4" s="14" t="s">
        <v>41</v>
      </c>
      <c r="B4">
        <v>114007.74</v>
      </c>
      <c r="C4">
        <v>36582.480000000003</v>
      </c>
    </row>
    <row r="5" spans="1:3">
      <c r="A5" s="14" t="s">
        <v>28</v>
      </c>
      <c r="B5">
        <v>169975.03999999992</v>
      </c>
      <c r="C5">
        <v>63680.929999999986</v>
      </c>
    </row>
    <row r="6" spans="1:3">
      <c r="A6" s="14" t="s">
        <v>24</v>
      </c>
      <c r="B6">
        <v>4313.57</v>
      </c>
      <c r="C6">
        <v>1897.6299999999999</v>
      </c>
    </row>
    <row r="7" spans="1:3">
      <c r="A7" s="14" t="s">
        <v>21</v>
      </c>
      <c r="B7">
        <v>16838.82</v>
      </c>
      <c r="C7">
        <v>5992.61</v>
      </c>
    </row>
    <row r="8" spans="1:3">
      <c r="A8" s="14" t="s">
        <v>153</v>
      </c>
      <c r="B8">
        <v>305135.16999999993</v>
      </c>
      <c r="C8">
        <v>108153.65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E52F-C4E7-43C6-91AE-DAA0575C4C20}">
  <sheetPr>
    <tabColor theme="9" tint="0.39997558519241921"/>
  </sheetPr>
  <dimension ref="B1:X145"/>
  <sheetViews>
    <sheetView workbookViewId="0"/>
  </sheetViews>
  <sheetFormatPr defaultColWidth="9" defaultRowHeight="14.25"/>
  <cols>
    <col min="2" max="2" width="13.3984375" customWidth="1"/>
    <col min="3" max="3" width="45.265625" customWidth="1"/>
    <col min="4" max="4" width="31.3984375" customWidth="1"/>
    <col min="5" max="5" width="34.265625" customWidth="1"/>
    <col min="6" max="6" width="21.3984375" bestFit="1" customWidth="1"/>
    <col min="7" max="7" width="24.46484375" bestFit="1" customWidth="1"/>
    <col min="8" max="8" width="14.265625" customWidth="1"/>
    <col min="9" max="9" width="12.1328125" customWidth="1"/>
    <col min="10" max="10" width="19.46484375" bestFit="1" customWidth="1"/>
    <col min="11" max="11" width="28.1328125" customWidth="1"/>
    <col min="12" max="12" width="21.73046875" customWidth="1"/>
    <col min="13" max="13" width="11.59765625" bestFit="1" customWidth="1"/>
    <col min="15" max="15" width="12.06640625" bestFit="1" customWidth="1"/>
    <col min="16" max="16" width="11.06640625" bestFit="1" customWidth="1"/>
    <col min="19" max="19" width="9.1328125" bestFit="1" customWidth="1"/>
    <col min="20" max="20" width="10.46484375" bestFit="1" customWidth="1"/>
    <col min="23" max="23" width="9.1328125" bestFit="1" customWidth="1"/>
    <col min="24" max="24" width="10.46484375" bestFit="1" customWidth="1"/>
  </cols>
  <sheetData>
    <row r="1" spans="2:13">
      <c r="M1" s="2"/>
    </row>
    <row r="2" spans="2:13">
      <c r="B2" t="s">
        <v>70</v>
      </c>
      <c r="M2" s="2"/>
    </row>
    <row r="3" spans="2:13">
      <c r="M3" s="2"/>
    </row>
    <row r="4" spans="2:13">
      <c r="B4" s="3"/>
      <c r="C4" s="4" t="s">
        <v>75</v>
      </c>
      <c r="D4" s="4" t="s">
        <v>76</v>
      </c>
      <c r="E4" s="21"/>
      <c r="M4" s="2"/>
    </row>
    <row r="5" spans="2:13">
      <c r="B5" s="4" t="s">
        <v>67</v>
      </c>
      <c r="C5" s="4">
        <f>SUM('拌客源数据1-8月'!J:J)</f>
        <v>1071473.2499999998</v>
      </c>
      <c r="D5" s="4">
        <f>SUM('拌客源数据1-8月'!J2:J25,'拌客源数据1-8月'!J496:J562)</f>
        <v>145618.28999999995</v>
      </c>
      <c r="M5" s="2"/>
    </row>
    <row r="6" spans="2:13">
      <c r="B6" s="5"/>
      <c r="C6" s="5"/>
      <c r="M6" s="2"/>
    </row>
    <row r="7" spans="2:13">
      <c r="B7" s="5"/>
      <c r="C7" s="5"/>
      <c r="M7" s="2"/>
    </row>
    <row r="8" spans="2:13">
      <c r="B8" s="5"/>
      <c r="C8" s="5"/>
      <c r="M8" s="2"/>
    </row>
    <row r="9" spans="2:13">
      <c r="B9" s="5"/>
      <c r="C9" s="5"/>
      <c r="M9" s="2"/>
    </row>
    <row r="10" spans="2:13">
      <c r="C10" s="6"/>
      <c r="M10" s="2"/>
    </row>
    <row r="11" spans="2:13">
      <c r="M11" s="2"/>
    </row>
    <row r="12" spans="2:13">
      <c r="B12" t="s">
        <v>71</v>
      </c>
      <c r="D12" s="15">
        <f>B16</f>
        <v>44019</v>
      </c>
      <c r="M12" s="2"/>
    </row>
    <row r="13" spans="2:13">
      <c r="M13" s="2"/>
    </row>
    <row r="14" spans="2:13">
      <c r="B14" s="3"/>
      <c r="C14" s="4" t="s">
        <v>55</v>
      </c>
      <c r="F14" s="15"/>
      <c r="G14" s="15"/>
    </row>
    <row r="15" spans="2:13">
      <c r="B15" s="7">
        <v>44013</v>
      </c>
      <c r="C15" s="4">
        <f>SUMIF('拌客源数据1-8月'!A:A,常用函数!B15,'拌客源数据1-8月'!J:J)</f>
        <v>6001.38</v>
      </c>
      <c r="D15" s="8" t="s">
        <v>141</v>
      </c>
      <c r="E15">
        <v>1</v>
      </c>
      <c r="F15" s="15"/>
      <c r="G15" s="15"/>
    </row>
    <row r="16" spans="2:13">
      <c r="B16" s="7">
        <v>44019</v>
      </c>
      <c r="C16" s="4">
        <f>SUMIF('拌客源数据1-8月'!A:A,常用函数!B16,'拌客源数据1-8月'!J:J)</f>
        <v>4764.71</v>
      </c>
      <c r="D16" s="8" t="s">
        <v>141</v>
      </c>
      <c r="E16">
        <v>2</v>
      </c>
      <c r="F16" s="15"/>
      <c r="G16" s="15"/>
    </row>
    <row r="17" spans="2:12">
      <c r="B17" s="7">
        <v>44028</v>
      </c>
      <c r="C17" s="4">
        <f>SUMIF('拌客源数据1-8月'!A:A,常用函数!B17,'拌客源数据1-8月'!J:J)</f>
        <v>11158.91</v>
      </c>
      <c r="D17" s="8" t="s">
        <v>141</v>
      </c>
      <c r="E17">
        <v>1</v>
      </c>
      <c r="F17" s="15"/>
      <c r="G17" s="15"/>
    </row>
    <row r="18" spans="2:12">
      <c r="B18" s="7">
        <v>44029</v>
      </c>
      <c r="C18" s="4">
        <f>SUMIF('拌客源数据1-8月'!A:A,常用函数!B18,'拌客源数据1-8月'!J:J)</f>
        <v>10788.41</v>
      </c>
      <c r="D18" s="8" t="s">
        <v>141</v>
      </c>
      <c r="E18">
        <v>2</v>
      </c>
      <c r="F18" s="15"/>
    </row>
    <row r="19" spans="2:12">
      <c r="B19" s="7">
        <v>44051</v>
      </c>
      <c r="C19" s="4">
        <f>SUMIF('拌客源数据1-8月'!A:A,常用函数!B19,'拌客源数据1-8月'!J:J)</f>
        <v>1374.4099999999999</v>
      </c>
      <c r="D19" s="8" t="s">
        <v>141</v>
      </c>
      <c r="E19">
        <v>1</v>
      </c>
      <c r="F19" s="15"/>
    </row>
    <row r="20" spans="2:12">
      <c r="B20" s="7">
        <v>44062</v>
      </c>
      <c r="C20" s="4">
        <f>SUMIF('拌客源数据1-8月'!A:A,常用函数!B20,'拌客源数据1-8月'!J:J)</f>
        <v>2588.69</v>
      </c>
      <c r="D20" s="8" t="s">
        <v>141</v>
      </c>
      <c r="E20">
        <v>2</v>
      </c>
      <c r="F20" s="15"/>
    </row>
    <row r="21" spans="2:12">
      <c r="B21" s="7">
        <v>44064</v>
      </c>
      <c r="C21" s="4">
        <f>SUMIF('拌客源数据1-8月'!A:A,常用函数!B21,'拌客源数据1-8月'!J:J)</f>
        <v>2118.79</v>
      </c>
      <c r="D21" s="8" t="s">
        <v>141</v>
      </c>
      <c r="E21">
        <v>1</v>
      </c>
      <c r="F21" s="15"/>
    </row>
    <row r="22" spans="2:12">
      <c r="B22" s="9"/>
      <c r="C22" s="5"/>
    </row>
    <row r="23" spans="2:12">
      <c r="B23" s="9"/>
      <c r="C23" s="5"/>
    </row>
    <row r="24" spans="2:12">
      <c r="B24" s="9"/>
      <c r="C24" s="5"/>
    </row>
    <row r="27" spans="2:12">
      <c r="B27" t="s">
        <v>72</v>
      </c>
    </row>
    <row r="29" spans="2:12">
      <c r="B29" s="3"/>
      <c r="C29" s="4" t="s">
        <v>126</v>
      </c>
      <c r="D29" s="4" t="s">
        <v>78</v>
      </c>
      <c r="E29" s="4" t="s">
        <v>77</v>
      </c>
      <c r="F29" s="5" t="s">
        <v>142</v>
      </c>
      <c r="G29" s="5" t="s">
        <v>143</v>
      </c>
      <c r="H29" s="5" t="s">
        <v>144</v>
      </c>
      <c r="I29" s="5" t="s">
        <v>145</v>
      </c>
      <c r="J29" s="5" t="s">
        <v>146</v>
      </c>
    </row>
    <row r="30" spans="2:12">
      <c r="B30" s="7">
        <v>44013</v>
      </c>
      <c r="C30" s="4">
        <f>SUMIFS('拌客源数据1-8月'!J:J,'拌客源数据1-8月'!A:A,常用函数!B30,'拌客源数据1-8月'!H:H,"美团")</f>
        <v>1008.28</v>
      </c>
      <c r="D30" s="16">
        <f>SUMIFS('拌客源数据1-8月'!J:J,'拌客源数据1-8月'!A:A,常用函数!B30,'拌客源数据1-8月'!H:H,"美团")/SUMIFS('拌客源数据1-8月'!J:J,'拌客源数据1-8月'!A:A,常用函数!B30-1,'拌客源数据1-8月'!H:H,"美团")-1</f>
        <v>8.2182224082600674E-2</v>
      </c>
      <c r="E30" s="16">
        <f>SUMIFS('拌客源数据1-8月'!J:J,'拌客源数据1-8月'!A:A,常用函数!B30,'拌客源数据1-8月'!H:H,"美团")/SUMIFS('拌客源数据1-8月'!J:J,'拌客源数据1-8月'!A:A,DATE(YEAR(B30),MONTH(B30)-1,DAY(B30)),'拌客源数据1-8月'!H:H,"美团")-1</f>
        <v>-0.10886031198904067</v>
      </c>
      <c r="F30" s="8">
        <f>YEAR(B30)</f>
        <v>2020</v>
      </c>
      <c r="G30" s="8">
        <f>MONTH(B30)</f>
        <v>7</v>
      </c>
      <c r="H30" s="8">
        <f>DAY(B30)</f>
        <v>1</v>
      </c>
      <c r="I30" s="1">
        <f>DATE(YEAR(B30),MONTH(B30)-1,DAY(B30))</f>
        <v>43983</v>
      </c>
      <c r="J30">
        <f>SUMIFS('拌客源数据1-8月'!J:J,'拌客源数据1-8月'!A:A,DATE(YEAR(B30),MONTH(B30)-1,DAY(B30)),'拌客源数据1-8月'!H:H,"美团")</f>
        <v>1131.45</v>
      </c>
      <c r="K30" s="1"/>
      <c r="L30" s="15"/>
    </row>
    <row r="31" spans="2:12">
      <c r="B31" s="7">
        <v>44014</v>
      </c>
      <c r="C31" s="4">
        <f>SUMIFS('拌客源数据1-8月'!J:J,'拌客源数据1-8月'!A:A,常用函数!B31,'拌客源数据1-8月'!H:H,"美团")</f>
        <v>1023.39</v>
      </c>
      <c r="D31" s="16">
        <f>SUMIFS('拌客源数据1-8月'!J:J,'拌客源数据1-8月'!A:A,常用函数!B31,'拌客源数据1-8月'!H:H,"美团")/SUMIFS('拌客源数据1-8月'!J:J,'拌客源数据1-8月'!A:A,常用函数!B31-1,'拌客源数据1-8月'!H:H,"美团")-1</f>
        <v>1.4985916610465333E-2</v>
      </c>
      <c r="E31" s="16">
        <f>SUMIFS('拌客源数据1-8月'!J:J,'拌客源数据1-8月'!A:A,常用函数!B31,'拌客源数据1-8月'!H:H,"美团")/SUMIFS('拌客源数据1-8月'!J:J,'拌客源数据1-8月'!A:A,DATE(YEAR(B31),MONTH(B31)-1,DAY(B31)),'拌客源数据1-8月'!H:H,"美团")-1</f>
        <v>0.21923585546302582</v>
      </c>
      <c r="F31" s="8">
        <f t="shared" ref="F31:F36" si="0">YEAR(B31)</f>
        <v>2020</v>
      </c>
      <c r="G31" s="8">
        <f t="shared" ref="G31:G36" si="1">MONTH(B31)</f>
        <v>7</v>
      </c>
      <c r="H31" s="8">
        <f t="shared" ref="H31:H36" si="2">DAY(B31)</f>
        <v>2</v>
      </c>
      <c r="I31" s="1">
        <f t="shared" ref="I31:I36" si="3">DATE(YEAR(B31),MONTH(B31)-1,DAY(B31))</f>
        <v>43984</v>
      </c>
      <c r="J31">
        <f>SUMIFS('拌客源数据1-8月'!J:J,'拌客源数据1-8月'!A:A,DATE(YEAR(B31),MONTH(B31)-1,DAY(B31)),'拌客源数据1-8月'!H:H,"美团")</f>
        <v>839.37</v>
      </c>
    </row>
    <row r="32" spans="2:12">
      <c r="B32" s="7">
        <v>44015</v>
      </c>
      <c r="C32" s="4">
        <f>SUMIFS('拌客源数据1-8月'!J:J,'拌客源数据1-8月'!A:A,常用函数!B32,'拌客源数据1-8月'!H:H,"美团")</f>
        <v>999.86</v>
      </c>
      <c r="D32" s="16">
        <f>SUMIFS('拌客源数据1-8月'!J:J,'拌客源数据1-8月'!A:A,常用函数!B32,'拌客源数据1-8月'!H:H,"美团")/SUMIFS('拌客源数据1-8月'!J:J,'拌客源数据1-8月'!A:A,常用函数!B32-1,'拌客源数据1-8月'!H:H,"美团")-1</f>
        <v>-2.2992212157632919E-2</v>
      </c>
      <c r="E32" s="16">
        <f>SUMIFS('拌客源数据1-8月'!J:J,'拌客源数据1-8月'!A:A,常用函数!B32,'拌客源数据1-8月'!H:H,"美团")/SUMIFS('拌客源数据1-8月'!J:J,'拌客源数据1-8月'!A:A,DATE(YEAR(B32),MONTH(B32)-1,DAY(B32)),'拌客源数据1-8月'!H:H,"美团")-1</f>
        <v>-0.18069110187893822</v>
      </c>
      <c r="F32" s="8">
        <f t="shared" si="0"/>
        <v>2020</v>
      </c>
      <c r="G32" s="8">
        <f t="shared" si="1"/>
        <v>7</v>
      </c>
      <c r="H32" s="8">
        <f t="shared" si="2"/>
        <v>3</v>
      </c>
      <c r="I32" s="1">
        <f t="shared" si="3"/>
        <v>43985</v>
      </c>
      <c r="J32">
        <f>SUMIFS('拌客源数据1-8月'!J:J,'拌客源数据1-8月'!A:A,DATE(YEAR(B32),MONTH(B32)-1,DAY(B32)),'拌客源数据1-8月'!H:H,"美团")</f>
        <v>1220.3699999999999</v>
      </c>
    </row>
    <row r="33" spans="2:10">
      <c r="B33" s="7">
        <v>44016</v>
      </c>
      <c r="C33" s="4">
        <f>SUMIFS('拌客源数据1-8月'!J:J,'拌客源数据1-8月'!A:A,常用函数!B33,'拌客源数据1-8月'!H:H,"美团")</f>
        <v>1144.82</v>
      </c>
      <c r="D33" s="16">
        <f>SUMIFS('拌客源数据1-8月'!J:J,'拌客源数据1-8月'!A:A,常用函数!B33,'拌客源数据1-8月'!H:H,"美团")/SUMIFS('拌客源数据1-8月'!J:J,'拌客源数据1-8月'!A:A,常用函数!B33-1,'拌客源数据1-8月'!H:H,"美团")-1</f>
        <v>0.14498029724161365</v>
      </c>
      <c r="E33" s="16">
        <f>SUMIFS('拌客源数据1-8月'!J:J,'拌客源数据1-8月'!A:A,常用函数!B33,'拌客源数据1-8月'!H:H,"美团")/SUMIFS('拌客源数据1-8月'!J:J,'拌客源数据1-8月'!A:A,DATE(YEAR(B33),MONTH(B33)-1,DAY(B33)),'拌客源数据1-8月'!H:H,"美团")-1</f>
        <v>-0.22352973093957507</v>
      </c>
      <c r="F33" s="8">
        <f t="shared" si="0"/>
        <v>2020</v>
      </c>
      <c r="G33" s="8">
        <f t="shared" si="1"/>
        <v>7</v>
      </c>
      <c r="H33" s="8">
        <f t="shared" si="2"/>
        <v>4</v>
      </c>
      <c r="I33" s="1">
        <f t="shared" si="3"/>
        <v>43986</v>
      </c>
      <c r="J33">
        <f>SUMIFS('拌客源数据1-8月'!J:J,'拌客源数据1-8月'!A:A,DATE(YEAR(B33),MONTH(B33)-1,DAY(B33)),'拌客源数据1-8月'!H:H,"美团")</f>
        <v>1474.39</v>
      </c>
    </row>
    <row r="34" spans="2:10">
      <c r="B34" s="7">
        <v>44017</v>
      </c>
      <c r="C34" s="4">
        <f>SUMIFS('拌客源数据1-8月'!J:J,'拌客源数据1-8月'!A:A,常用函数!B34,'拌客源数据1-8月'!H:H,"美团")</f>
        <v>755.47</v>
      </c>
      <c r="D34" s="16">
        <f>SUMIFS('拌客源数据1-8月'!J:J,'拌客源数据1-8月'!A:A,常用函数!B34,'拌客源数据1-8月'!H:H,"美团")/SUMIFS('拌客源数据1-8月'!J:J,'拌客源数据1-8月'!A:A,常用函数!B34-1,'拌客源数据1-8月'!H:H,"美团")-1</f>
        <v>-0.34009713317377399</v>
      </c>
      <c r="E34" s="16">
        <f>SUMIFS('拌客源数据1-8月'!J:J,'拌客源数据1-8月'!A:A,常用函数!B34,'拌客源数据1-8月'!H:H,"美团")/SUMIFS('拌客源数据1-8月'!J:J,'拌客源数据1-8月'!A:A,DATE(YEAR(B34),MONTH(B34)-1,DAY(B34)),'拌客源数据1-8月'!H:H,"美团")-1</f>
        <v>-0.33924291986635635</v>
      </c>
      <c r="F34" s="8">
        <f t="shared" si="0"/>
        <v>2020</v>
      </c>
      <c r="G34" s="8">
        <f t="shared" si="1"/>
        <v>7</v>
      </c>
      <c r="H34" s="8">
        <f t="shared" si="2"/>
        <v>5</v>
      </c>
      <c r="I34" s="1">
        <f t="shared" si="3"/>
        <v>43987</v>
      </c>
      <c r="J34">
        <f>SUMIFS('拌客源数据1-8月'!J:J,'拌客源数据1-8月'!A:A,DATE(YEAR(B34),MONTH(B34)-1,DAY(B34)),'拌客源数据1-8月'!H:H,"美团")</f>
        <v>1143.3399999999999</v>
      </c>
    </row>
    <row r="35" spans="2:10">
      <c r="B35" s="7">
        <v>44044</v>
      </c>
      <c r="C35" s="4">
        <f>SUMIFS('拌客源数据1-8月'!J:J,'拌客源数据1-8月'!A:A,常用函数!B35,'拌客源数据1-8月'!H:H,"美团")</f>
        <v>3387.1000000000004</v>
      </c>
      <c r="D35" s="16">
        <f>SUMIFS('拌客源数据1-8月'!J:J,'拌客源数据1-8月'!A:A,常用函数!B35,'拌客源数据1-8月'!H:H,"美团")/SUMIFS('拌客源数据1-8月'!J:J,'拌客源数据1-8月'!A:A,常用函数!B35-1,'拌客源数据1-8月'!H:H,"美团")-1</f>
        <v>-0.41335610328923089</v>
      </c>
      <c r="E35" s="16">
        <f>SUMIFS('拌客源数据1-8月'!J:J,'拌客源数据1-8月'!A:A,常用函数!B35,'拌客源数据1-8月'!H:H,"美团")/SUMIFS('拌客源数据1-8月'!J:J,'拌客源数据1-8月'!A:A,DATE(YEAR(B35),MONTH(B35)-1,DAY(B35)),'拌客源数据1-8月'!H:H,"美团")-1</f>
        <v>2.3592851192129176</v>
      </c>
      <c r="F35" s="8">
        <f t="shared" si="0"/>
        <v>2020</v>
      </c>
      <c r="G35" s="8">
        <f t="shared" si="1"/>
        <v>8</v>
      </c>
      <c r="H35" s="8">
        <f t="shared" si="2"/>
        <v>1</v>
      </c>
      <c r="I35" s="1">
        <f t="shared" si="3"/>
        <v>44013</v>
      </c>
      <c r="J35">
        <f>SUMIFS('拌客源数据1-8月'!J:J,'拌客源数据1-8月'!A:A,DATE(YEAR(B35),MONTH(B35)-1,DAY(B35)),'拌客源数据1-8月'!H:H,"美团")</f>
        <v>1008.28</v>
      </c>
    </row>
    <row r="36" spans="2:10">
      <c r="B36" s="7">
        <v>44048</v>
      </c>
      <c r="C36" s="4">
        <f>SUMIFS('拌客源数据1-8月'!J:J,'拌客源数据1-8月'!A:A,常用函数!B36,'拌客源数据1-8月'!H:H,"美团")</f>
        <v>1817.37</v>
      </c>
      <c r="D36" s="16">
        <f>SUMIFS('拌客源数据1-8月'!J:J,'拌客源数据1-8月'!A:A,常用函数!B36,'拌客源数据1-8月'!H:H,"美团")/SUMIFS('拌客源数据1-8月'!J:J,'拌客源数据1-8月'!A:A,常用函数!B36-1,'拌客源数据1-8月'!H:H,"美团")-1</f>
        <v>0.12391465677179947</v>
      </c>
      <c r="E36" s="16">
        <f>SUMIFS('拌客源数据1-8月'!J:J,'拌客源数据1-8月'!A:A,常用函数!B36,'拌客源数据1-8月'!H:H,"美团")/SUMIFS('拌客源数据1-8月'!J:J,'拌客源数据1-8月'!A:A,DATE(YEAR(B36),MONTH(B36)-1,DAY(B36)),'拌客源数据1-8月'!H:H,"美团")-1</f>
        <v>1.4056150475862705</v>
      </c>
      <c r="F36" s="8">
        <f t="shared" si="0"/>
        <v>2020</v>
      </c>
      <c r="G36" s="8">
        <f t="shared" si="1"/>
        <v>8</v>
      </c>
      <c r="H36" s="8">
        <f t="shared" si="2"/>
        <v>5</v>
      </c>
      <c r="I36" s="1">
        <f t="shared" si="3"/>
        <v>44017</v>
      </c>
      <c r="J36">
        <f>SUMIFS('拌客源数据1-8月'!J:J,'拌客源数据1-8月'!A:A,DATE(YEAR(B36),MONTH(B36)-1,DAY(B36)),'拌客源数据1-8月'!H:H,"美团")</f>
        <v>755.47</v>
      </c>
    </row>
    <row r="37" spans="2:10">
      <c r="F37" s="13"/>
    </row>
    <row r="38" spans="2:10">
      <c r="B38" s="3"/>
      <c r="C38" s="4" t="s">
        <v>126</v>
      </c>
      <c r="D38" s="4" t="s">
        <v>79</v>
      </c>
      <c r="E38" s="5" t="s">
        <v>147</v>
      </c>
      <c r="F38" s="5" t="s">
        <v>148</v>
      </c>
      <c r="G38" s="5" t="s">
        <v>149</v>
      </c>
    </row>
    <row r="39" spans="2:10">
      <c r="B39" s="10">
        <v>43831</v>
      </c>
      <c r="C39" s="4">
        <f>SUMIFS('拌客源数据1-8月'!J:J,'拌客源数据1-8月'!H:H,"美团",'拌客源数据1-8月'!A:A,"&gt;="&amp;DATE(YEAR(B39),MONTH(B39),1),'拌客源数据1-8月'!A:A,"&lt;="&amp;(DATE(YEAR(B39),MONTH(B39)+1,1)-1))</f>
        <v>6787.9800000000005</v>
      </c>
      <c r="D39" s="17" t="e">
        <f>SUMIFS('拌客源数据1-8月'!J:J,'拌客源数据1-8月'!H:H,"美团",'拌客源数据1-8月'!A:A,"&gt;="&amp;DATE(YEAR(B39),MONTH(B39),1),'拌客源数据1-8月'!A:A,"&lt;="&amp;(DATE(YEAR(B39),MONTH(B39)+1,1)-1))/SUMIFS('拌客源数据1-8月'!J:J,'拌客源数据1-8月'!H:H,"美团",'拌客源数据1-8月'!A:A,"&gt;="&amp;DATE(YEAR(B39),MONTH(B39)-1,1),'拌客源数据1-8月'!A:A,"&lt;="&amp;(DATE(YEAR(B39),MONTH(B39),1)-1))-1</f>
        <v>#DIV/0!</v>
      </c>
      <c r="E39" s="1">
        <f>DATE(YEAR(B39),MONTH(B39),1)</f>
        <v>43831</v>
      </c>
      <c r="F39" s="1">
        <f>DATE(YEAR(B39),MONTH(B39),31)</f>
        <v>43861</v>
      </c>
      <c r="G39" s="1">
        <f>DATE(YEAR(B39),MONTH(B39)+1,1)-1</f>
        <v>43861</v>
      </c>
    </row>
    <row r="40" spans="2:10">
      <c r="B40" s="10">
        <v>43862</v>
      </c>
      <c r="C40" s="4">
        <f>SUMIFS('拌客源数据1-8月'!J:J,'拌客源数据1-8月'!H:H,"美团",'拌客源数据1-8月'!A:A,"&gt;="&amp;DATE(YEAR(B40),MONTH(B40),1),'拌客源数据1-8月'!A:A,"&lt;="&amp;(DATE(YEAR(B40),MONTH(B40)+1,1)-1))</f>
        <v>2678.62</v>
      </c>
      <c r="D40" s="17">
        <f>SUMIFS('拌客源数据1-8月'!J:J,'拌客源数据1-8月'!H:H,"美团",'拌客源数据1-8月'!A:A,"&gt;="&amp;DATE(YEAR(B40),MONTH(B40),1),'拌客源数据1-8月'!A:A,"&lt;="&amp;(DATE(YEAR(B40),MONTH(B40)+1,1)-1))/SUMIFS('拌客源数据1-8月'!J:J,'拌客源数据1-8月'!H:H,"美团",'拌客源数据1-8月'!A:A,"&gt;="&amp;DATE(YEAR(B40),MONTH(B40)-1,1),'拌客源数据1-8月'!A:A,"&lt;="&amp;(DATE(YEAR(B40),MONTH(B40),1)-1))-1</f>
        <v>-0.60538775895037999</v>
      </c>
      <c r="E40" s="1">
        <f t="shared" ref="E40:E46" si="4">DATE(YEAR(B40),MONTH(B40),1)</f>
        <v>43862</v>
      </c>
      <c r="F40" s="1">
        <f>DATE(YEAR(B40),MONTH(B40),31)</f>
        <v>43892</v>
      </c>
      <c r="G40" s="1">
        <f t="shared" ref="G40:G46" si="5">DATE(YEAR(B40),MONTH(B40)+1,1)-1</f>
        <v>43890</v>
      </c>
    </row>
    <row r="41" spans="2:10">
      <c r="B41" s="10">
        <v>43891</v>
      </c>
      <c r="C41" s="4">
        <f>SUMIFS('拌客源数据1-8月'!J:J,'拌客源数据1-8月'!H:H,"美团",'拌客源数据1-8月'!A:A,"&gt;="&amp;DATE(YEAR(B41),MONTH(B41),1),'拌客源数据1-8月'!A:A,"&lt;="&amp;(DATE(YEAR(B41),MONTH(B41)+1,1)-1))</f>
        <v>24829.310000000009</v>
      </c>
      <c r="D41" s="17">
        <f>SUMIFS('拌客源数据1-8月'!J:J,'拌客源数据1-8月'!H:H,"美团",'拌客源数据1-8月'!A:A,"&gt;="&amp;DATE(YEAR(B41),MONTH(B41),1),'拌客源数据1-8月'!A:A,"&lt;="&amp;(DATE(YEAR(B41),MONTH(B41)+1,1)-1))/SUMIFS('拌客源数据1-8月'!J:J,'拌客源数据1-8月'!H:H,"美团",'拌客源数据1-8月'!A:A,"&gt;="&amp;DATE(YEAR(B41),MONTH(B41)-1,1),'拌客源数据1-8月'!A:A,"&lt;="&amp;(DATE(YEAR(B41),MONTH(B41),1)-1))-1</f>
        <v>8.2694409808035516</v>
      </c>
      <c r="E41" s="1">
        <f t="shared" si="4"/>
        <v>43891</v>
      </c>
      <c r="F41" s="1">
        <f t="shared" ref="F41:F46" si="6">DATE(YEAR(B41),MONTH(B41),31)</f>
        <v>43921</v>
      </c>
      <c r="G41" s="1">
        <f t="shared" si="5"/>
        <v>43921</v>
      </c>
    </row>
    <row r="42" spans="2:10">
      <c r="B42" s="10">
        <v>43922</v>
      </c>
      <c r="C42" s="4">
        <f>SUMIFS('拌客源数据1-8月'!J:J,'拌客源数据1-8月'!H:H,"美团",'拌客源数据1-8月'!A:A,"&gt;="&amp;DATE(YEAR(B42),MONTH(B42),1),'拌客源数据1-8月'!A:A,"&lt;="&amp;(DATE(YEAR(B42),MONTH(B42)+1,1)-1))</f>
        <v>38698.99</v>
      </c>
      <c r="D42" s="17">
        <f>SUMIFS('拌客源数据1-8月'!J:J,'拌客源数据1-8月'!H:H,"美团",'拌客源数据1-8月'!A:A,"&gt;="&amp;DATE(YEAR(B42),MONTH(B42),1),'拌客源数据1-8月'!A:A,"&lt;="&amp;(DATE(YEAR(B42),MONTH(B42)+1,1)-1))/SUMIFS('拌客源数据1-8月'!J:J,'拌客源数据1-8月'!H:H,"美团",'拌客源数据1-8月'!A:A,"&gt;="&amp;DATE(YEAR(B42),MONTH(B42)-1,1),'拌客源数据1-8月'!A:A,"&lt;="&amp;(DATE(YEAR(B42),MONTH(B42),1)-1))-1</f>
        <v>0.55860110490384085</v>
      </c>
      <c r="E42" s="1">
        <f t="shared" si="4"/>
        <v>43922</v>
      </c>
      <c r="F42" s="1">
        <f t="shared" si="6"/>
        <v>43952</v>
      </c>
      <c r="G42" s="1">
        <f t="shared" si="5"/>
        <v>43951</v>
      </c>
    </row>
    <row r="43" spans="2:10">
      <c r="B43" s="10">
        <v>43952</v>
      </c>
      <c r="C43" s="4">
        <f>SUMIFS('拌客源数据1-8月'!J:J,'拌客源数据1-8月'!H:H,"美团",'拌客源数据1-8月'!A:A,"&gt;="&amp;DATE(YEAR(B43),MONTH(B43),1),'拌客源数据1-8月'!A:A,"&lt;="&amp;(DATE(YEAR(B43),MONTH(B43)+1,1)-1))</f>
        <v>30397.779999999995</v>
      </c>
      <c r="D43" s="17">
        <f>SUMIFS('拌客源数据1-8月'!J:J,'拌客源数据1-8月'!H:H,"美团",'拌客源数据1-8月'!A:A,"&gt;="&amp;DATE(YEAR(B43),MONTH(B43),1),'拌客源数据1-8月'!A:A,"&lt;="&amp;(DATE(YEAR(B43),MONTH(B43)+1,1)-1))/SUMIFS('拌客源数据1-8月'!J:J,'拌客源数据1-8月'!H:H,"美团",'拌客源数据1-8月'!A:A,"&gt;="&amp;DATE(YEAR(B43),MONTH(B43)-1,1),'拌客源数据1-8月'!A:A,"&lt;="&amp;(DATE(YEAR(B43),MONTH(B43),1)-1))-1</f>
        <v>-0.21450714863617892</v>
      </c>
      <c r="E43" s="1">
        <f t="shared" si="4"/>
        <v>43952</v>
      </c>
      <c r="F43" s="1">
        <f t="shared" si="6"/>
        <v>43982</v>
      </c>
      <c r="G43" s="1">
        <f t="shared" si="5"/>
        <v>43982</v>
      </c>
    </row>
    <row r="44" spans="2:10">
      <c r="B44" s="10">
        <v>43983</v>
      </c>
      <c r="C44" s="4">
        <f>SUMIFS('拌客源数据1-8月'!J:J,'拌客源数据1-8月'!H:H,"美团",'拌客源数据1-8月'!A:A,"&gt;="&amp;DATE(YEAR(B44),MONTH(B44),1),'拌客源数据1-8月'!A:A,"&lt;="&amp;(DATE(YEAR(B44),MONTH(B44)+1,1)-1))</f>
        <v>26037.540000000005</v>
      </c>
      <c r="D44" s="17">
        <f>SUMIFS('拌客源数据1-8月'!J:J,'拌客源数据1-8月'!H:H,"美团",'拌客源数据1-8月'!A:A,"&gt;="&amp;DATE(YEAR(B44),MONTH(B44),1),'拌客源数据1-8月'!A:A,"&lt;="&amp;(DATE(YEAR(B44),MONTH(B44)+1,1)-1))/SUMIFS('拌客源数据1-8月'!J:J,'拌客源数据1-8月'!H:H,"美团",'拌客源数据1-8月'!A:A,"&gt;="&amp;DATE(YEAR(B44),MONTH(B44)-1,1),'拌客源数据1-8月'!A:A,"&lt;="&amp;(DATE(YEAR(B44),MONTH(B44),1)-1))-1</f>
        <v>-0.14343942222096451</v>
      </c>
      <c r="E44" s="1">
        <f t="shared" si="4"/>
        <v>43983</v>
      </c>
      <c r="F44" s="1">
        <f t="shared" si="6"/>
        <v>44013</v>
      </c>
      <c r="G44" s="1">
        <f t="shared" si="5"/>
        <v>44012</v>
      </c>
    </row>
    <row r="45" spans="2:10">
      <c r="B45" s="10">
        <v>44013</v>
      </c>
      <c r="C45" s="4">
        <f>SUMIFS('拌客源数据1-8月'!J:J,'拌客源数据1-8月'!H:H,"美团",'拌客源数据1-8月'!A:A,"&gt;="&amp;DATE(YEAR(B45),MONTH(B45),1),'拌客源数据1-8月'!A:A,"&lt;="&amp;(DATE(YEAR(B45),MONTH(B45)+1,1)-1))</f>
        <v>133045.43</v>
      </c>
      <c r="D45" s="17">
        <f>SUMIFS('拌客源数据1-8月'!J:J,'拌客源数据1-8月'!H:H,"美团",'拌客源数据1-8月'!A:A,"&gt;="&amp;DATE(YEAR(B45),MONTH(B45),1),'拌客源数据1-8月'!A:A,"&lt;="&amp;(DATE(YEAR(B45),MONTH(B45)+1,1)-1))/SUMIFS('拌客源数据1-8月'!J:J,'拌客源数据1-8月'!H:H,"美团",'拌客源数据1-8月'!A:A,"&gt;="&amp;DATE(YEAR(B45),MONTH(B45)-1,1),'拌客源数据1-8月'!A:A,"&lt;="&amp;(DATE(YEAR(B45),MONTH(B45),1)-1))-1</f>
        <v>4.1097542240933658</v>
      </c>
      <c r="E45" s="1">
        <f t="shared" si="4"/>
        <v>44013</v>
      </c>
      <c r="F45" s="1">
        <f t="shared" si="6"/>
        <v>44043</v>
      </c>
      <c r="G45" s="1">
        <f t="shared" si="5"/>
        <v>44043</v>
      </c>
    </row>
    <row r="46" spans="2:10">
      <c r="B46" s="10">
        <v>44044</v>
      </c>
      <c r="C46" s="4">
        <f>SUMIFS('拌客源数据1-8月'!J:J,'拌客源数据1-8月'!H:H,"美团",'拌客源数据1-8月'!A:A,"&gt;="&amp;DATE(YEAR(B46),MONTH(B46),1),'拌客源数据1-8月'!A:A,"&lt;="&amp;(DATE(YEAR(B46),MONTH(B46)+1,1)-1))</f>
        <v>42659.520000000004</v>
      </c>
      <c r="D46" s="17">
        <f>SUMIFS('拌客源数据1-8月'!J:J,'拌客源数据1-8月'!H:H,"美团",'拌客源数据1-8月'!A:A,"&gt;="&amp;DATE(YEAR(B46),MONTH(B46),1),'拌客源数据1-8月'!A:A,"&lt;="&amp;(DATE(YEAR(B46),MONTH(B46)+1,1)-1))/SUMIFS('拌客源数据1-8月'!J:J,'拌客源数据1-8月'!H:H,"美团",'拌客源数据1-8月'!A:A,"&gt;="&amp;DATE(YEAR(B46),MONTH(B46)-1,1),'拌客源数据1-8月'!A:A,"&lt;="&amp;(DATE(YEAR(B46),MONTH(B46),1)-1))-1</f>
        <v>-0.67936125276907289</v>
      </c>
      <c r="E46" s="1">
        <f t="shared" si="4"/>
        <v>44044</v>
      </c>
      <c r="F46" s="1">
        <f t="shared" si="6"/>
        <v>44074</v>
      </c>
      <c r="G46" s="1">
        <f t="shared" si="5"/>
        <v>44074</v>
      </c>
    </row>
    <row r="47" spans="2:10">
      <c r="B47" s="11"/>
    </row>
    <row r="48" spans="2:10">
      <c r="B48" s="11"/>
    </row>
    <row r="49" spans="2:5">
      <c r="B49" s="11"/>
    </row>
    <row r="52" spans="2:5">
      <c r="B52" t="s">
        <v>73</v>
      </c>
    </row>
    <row r="54" spans="2:5">
      <c r="B54" s="3"/>
      <c r="C54" s="4" t="s">
        <v>80</v>
      </c>
      <c r="D54" s="4" t="s">
        <v>81</v>
      </c>
    </row>
    <row r="55" spans="2:5">
      <c r="B55" s="4" t="s">
        <v>55</v>
      </c>
      <c r="C55" s="3">
        <f>SUM('拌客源数据1-8月'!J:J)</f>
        <v>1071473.2499999998</v>
      </c>
      <c r="D55" s="3">
        <f>SUBTOTAL(9,'拌客源数据1-8月'!J:J)</f>
        <v>1071473.2499999998</v>
      </c>
    </row>
    <row r="56" spans="2:5">
      <c r="B56" s="5"/>
    </row>
    <row r="57" spans="2:5">
      <c r="B57" s="5"/>
    </row>
    <row r="58" spans="2:5">
      <c r="B58" s="5"/>
    </row>
    <row r="61" spans="2:5">
      <c r="B61" t="s">
        <v>74</v>
      </c>
    </row>
    <row r="63" spans="2:5">
      <c r="B63" s="4" t="s">
        <v>90</v>
      </c>
      <c r="C63" s="4" t="s">
        <v>55</v>
      </c>
      <c r="D63" s="4" t="s">
        <v>92</v>
      </c>
      <c r="E63" s="5"/>
    </row>
    <row r="64" spans="2:5">
      <c r="B64" s="4" t="s">
        <v>82</v>
      </c>
      <c r="C64" s="4">
        <v>64233.369999999995</v>
      </c>
      <c r="D64" s="4" t="str">
        <f>IF(C64&gt;100000,"达标","不达标")</f>
        <v>不达标</v>
      </c>
      <c r="E64" s="5"/>
    </row>
    <row r="65" spans="2:11">
      <c r="B65" s="4" t="s">
        <v>83</v>
      </c>
      <c r="C65" s="4">
        <v>32755.710000000006</v>
      </c>
      <c r="D65" s="4" t="str">
        <f t="shared" ref="D65:D71" si="7">IF(C65&gt;100000,"达标","不达标")</f>
        <v>不达标</v>
      </c>
      <c r="E65" s="5"/>
    </row>
    <row r="66" spans="2:11">
      <c r="B66" s="4" t="s">
        <v>84</v>
      </c>
      <c r="C66" s="4">
        <v>78895.689999999988</v>
      </c>
      <c r="D66" s="4" t="str">
        <f t="shared" si="7"/>
        <v>不达标</v>
      </c>
      <c r="E66" s="5"/>
    </row>
    <row r="67" spans="2:11">
      <c r="B67" s="4" t="s">
        <v>85</v>
      </c>
      <c r="C67" s="4">
        <v>108307.06999999999</v>
      </c>
      <c r="D67" s="4" t="str">
        <f t="shared" si="7"/>
        <v>达标</v>
      </c>
      <c r="E67" s="5"/>
    </row>
    <row r="68" spans="2:11">
      <c r="B68" s="4" t="s">
        <v>86</v>
      </c>
      <c r="C68" s="4">
        <v>194276.97</v>
      </c>
      <c r="D68" s="4" t="str">
        <f t="shared" si="7"/>
        <v>达标</v>
      </c>
      <c r="E68" s="5"/>
    </row>
    <row r="69" spans="2:11">
      <c r="B69" s="4" t="s">
        <v>87</v>
      </c>
      <c r="C69" s="4">
        <v>255727.79000000007</v>
      </c>
      <c r="D69" s="4" t="str">
        <f t="shared" si="7"/>
        <v>达标</v>
      </c>
      <c r="E69" s="5"/>
    </row>
    <row r="70" spans="2:11">
      <c r="B70" s="4" t="s">
        <v>88</v>
      </c>
      <c r="C70" s="4">
        <v>255891.73</v>
      </c>
      <c r="D70" s="4" t="str">
        <f t="shared" si="7"/>
        <v>达标</v>
      </c>
      <c r="E70" s="5"/>
    </row>
    <row r="71" spans="2:11">
      <c r="B71" s="4" t="s">
        <v>89</v>
      </c>
      <c r="C71" s="4">
        <v>81384.920000000013</v>
      </c>
      <c r="D71" s="4" t="str">
        <f t="shared" si="7"/>
        <v>不达标</v>
      </c>
      <c r="E71" s="5"/>
    </row>
    <row r="72" spans="2:11">
      <c r="B72" s="5"/>
      <c r="C72" s="5"/>
      <c r="D72" s="5"/>
      <c r="E72" s="5"/>
    </row>
    <row r="73" spans="2:11">
      <c r="B73" s="5"/>
      <c r="C73" s="5"/>
      <c r="D73" s="5"/>
      <c r="E73" s="5"/>
    </row>
    <row r="74" spans="2:11">
      <c r="B74" s="5"/>
      <c r="C74" s="5"/>
      <c r="D74" s="5"/>
      <c r="E74" s="5"/>
    </row>
    <row r="77" spans="2:11">
      <c r="B77" t="s">
        <v>93</v>
      </c>
    </row>
    <row r="78" spans="2:11">
      <c r="I78" t="s">
        <v>101</v>
      </c>
    </row>
    <row r="79" spans="2:11">
      <c r="B79" s="4" t="s">
        <v>90</v>
      </c>
      <c r="C79" s="4" t="s">
        <v>55</v>
      </c>
      <c r="D79" s="4" t="s">
        <v>91</v>
      </c>
      <c r="E79" s="3" t="s">
        <v>94</v>
      </c>
      <c r="I79" s="4" t="s">
        <v>98</v>
      </c>
      <c r="J79" s="4" t="s">
        <v>99</v>
      </c>
      <c r="K79" s="4" t="s">
        <v>100</v>
      </c>
    </row>
    <row r="80" spans="2:11">
      <c r="B80" s="4" t="s">
        <v>82</v>
      </c>
      <c r="C80" s="4">
        <v>64233.369999999995</v>
      </c>
      <c r="D80" s="4">
        <v>3344.24</v>
      </c>
      <c r="E80" s="4" t="str">
        <f>IF(C80&gt;100000,IF(D80&lt;5000,"达标","不达标"),"不达标")</f>
        <v>不达标</v>
      </c>
      <c r="I80" s="4">
        <v>0</v>
      </c>
      <c r="J80" s="4">
        <v>0</v>
      </c>
      <c r="K80" s="4" t="str">
        <f>IF(I80=0,IF(J80=0,"AB都等于","A等于B不等于"),IF(J80=0,"A不等于B等于","AB都不等于"))</f>
        <v>AB都等于</v>
      </c>
    </row>
    <row r="81" spans="2:24">
      <c r="B81" s="4" t="s">
        <v>83</v>
      </c>
      <c r="C81" s="4">
        <v>32755.710000000006</v>
      </c>
      <c r="D81" s="4">
        <v>902.87</v>
      </c>
      <c r="E81" s="4" t="str">
        <f t="shared" ref="E81:E87" si="8">IF(C81&gt;100000,IF(D81&lt;5000,"达标","不达标"),"不达标")</f>
        <v>不达标</v>
      </c>
      <c r="I81" s="4">
        <v>1</v>
      </c>
      <c r="J81" s="4">
        <v>0</v>
      </c>
      <c r="K81" s="4" t="str">
        <f>IF(I81=0,IF(J81=0,"AB都等于","A等于B不等于"),IF(J81=0,"A不等于B等于","AB都不等于"))</f>
        <v>A不等于B等于</v>
      </c>
    </row>
    <row r="82" spans="2:24">
      <c r="B82" s="4" t="s">
        <v>84</v>
      </c>
      <c r="C82" s="4">
        <v>78895.689999999988</v>
      </c>
      <c r="D82" s="4">
        <v>2645.3200000000006</v>
      </c>
      <c r="E82" s="4" t="str">
        <f t="shared" si="8"/>
        <v>不达标</v>
      </c>
      <c r="I82" s="4">
        <v>1</v>
      </c>
      <c r="J82" s="4">
        <v>1</v>
      </c>
      <c r="K82" s="4" t="str">
        <f>IF(I82=0,IF(J82=0,"AB都等于","A等于B不等于"),IF(J82=0,"A不等于B等于","AB都不等于"))</f>
        <v>AB都不等于</v>
      </c>
    </row>
    <row r="83" spans="2:24">
      <c r="B83" s="4" t="s">
        <v>85</v>
      </c>
      <c r="C83" s="4">
        <v>108307.06999999999</v>
      </c>
      <c r="D83" s="4">
        <v>4513.12</v>
      </c>
      <c r="E83" s="4" t="str">
        <f t="shared" si="8"/>
        <v>达标</v>
      </c>
      <c r="I83" s="4">
        <v>0</v>
      </c>
      <c r="J83" s="4">
        <v>1</v>
      </c>
      <c r="K83" s="4" t="str">
        <f>IF(I83=0,IF(J83=0,"AB都等于","A等于B不等于"),IF(J83=0,"A不等于B等于","AB都不等于"))</f>
        <v>A等于B不等于</v>
      </c>
    </row>
    <row r="84" spans="2:24">
      <c r="B84" s="4" t="s">
        <v>86</v>
      </c>
      <c r="C84" s="4">
        <v>194276.97</v>
      </c>
      <c r="D84" s="4">
        <v>11804.4</v>
      </c>
      <c r="E84" s="4" t="str">
        <f t="shared" si="8"/>
        <v>不达标</v>
      </c>
    </row>
    <row r="85" spans="2:24">
      <c r="B85" s="4" t="s">
        <v>87</v>
      </c>
      <c r="C85" s="4">
        <v>255727.79000000007</v>
      </c>
      <c r="D85" s="4">
        <v>8302.5300000000007</v>
      </c>
      <c r="E85" s="4" t="str">
        <f t="shared" si="8"/>
        <v>不达标</v>
      </c>
    </row>
    <row r="86" spans="2:24">
      <c r="B86" s="4" t="s">
        <v>88</v>
      </c>
      <c r="C86" s="4">
        <v>255891.73</v>
      </c>
      <c r="D86" s="4">
        <v>13616.330000000004</v>
      </c>
      <c r="E86" s="4" t="str">
        <f t="shared" si="8"/>
        <v>不达标</v>
      </c>
    </row>
    <row r="87" spans="2:24">
      <c r="B87" s="4" t="s">
        <v>89</v>
      </c>
      <c r="C87" s="4">
        <v>81384.920000000013</v>
      </c>
      <c r="D87" s="4">
        <v>3680.309999999999</v>
      </c>
      <c r="E87" s="4" t="str">
        <f t="shared" si="8"/>
        <v>不达标</v>
      </c>
    </row>
    <row r="88" spans="2:24">
      <c r="B88" s="5"/>
      <c r="C88" s="5"/>
      <c r="D88" s="5"/>
    </row>
    <row r="89" spans="2:24">
      <c r="B89" s="5"/>
      <c r="C89" s="5"/>
      <c r="D89" s="5"/>
    </row>
    <row r="90" spans="2:24">
      <c r="B90" s="5"/>
      <c r="C90" s="5"/>
      <c r="D90" s="5"/>
    </row>
    <row r="93" spans="2:24">
      <c r="B93" t="s">
        <v>97</v>
      </c>
      <c r="P93">
        <f>VLOOKUP(O96,O110:P117,2,FALSE)</f>
        <v>273854.58</v>
      </c>
    </row>
    <row r="94" spans="2:24">
      <c r="F94" t="s">
        <v>113</v>
      </c>
      <c r="I94" t="s">
        <v>122</v>
      </c>
      <c r="S94" t="s">
        <v>110</v>
      </c>
    </row>
    <row r="95" spans="2:24">
      <c r="B95" s="4" t="s">
        <v>95</v>
      </c>
      <c r="C95" s="4" t="s">
        <v>96</v>
      </c>
      <c r="D95" s="5"/>
      <c r="E95" s="5"/>
      <c r="F95" s="4" t="s">
        <v>114</v>
      </c>
      <c r="G95" s="4" t="s">
        <v>109</v>
      </c>
      <c r="I95" s="4" t="s">
        <v>116</v>
      </c>
      <c r="J95" s="4" t="s">
        <v>117</v>
      </c>
      <c r="O95" s="4" t="s">
        <v>95</v>
      </c>
      <c r="P95" s="4" t="s">
        <v>55</v>
      </c>
      <c r="Q95" s="5"/>
      <c r="R95" s="5"/>
      <c r="S95" s="4" t="s">
        <v>102</v>
      </c>
      <c r="T95" s="4" t="s">
        <v>105</v>
      </c>
      <c r="U95" s="4" t="s">
        <v>109</v>
      </c>
      <c r="W95" s="18" t="s">
        <v>127</v>
      </c>
      <c r="X95" t="s">
        <v>136</v>
      </c>
    </row>
    <row r="96" spans="2:24">
      <c r="B96" s="12" t="s">
        <v>46</v>
      </c>
      <c r="C96" s="4" t="str">
        <f>VLOOKUP(B96,'拌客源数据1-8月'!D:E,2,FALSE)</f>
        <v>宝山店</v>
      </c>
      <c r="D96" s="5"/>
      <c r="E96" s="5"/>
      <c r="F96" s="4" t="s">
        <v>121</v>
      </c>
      <c r="G96" s="4">
        <v>1</v>
      </c>
      <c r="I96" s="4" t="s">
        <v>106</v>
      </c>
      <c r="J96" s="4">
        <f>VLOOKUP(I96&amp;"*",F96:G103,2,TRUE)</f>
        <v>1</v>
      </c>
      <c r="O96" s="12" t="s">
        <v>46</v>
      </c>
      <c r="P96" s="3">
        <f>VLOOKUP(O96,$O$109:$P$118,2,FALSE)</f>
        <v>273854.58</v>
      </c>
      <c r="S96" s="4" t="s">
        <v>98</v>
      </c>
      <c r="T96" s="4" t="s">
        <v>106</v>
      </c>
      <c r="U96" s="4">
        <v>1</v>
      </c>
      <c r="W96" s="14" t="s">
        <v>137</v>
      </c>
      <c r="X96">
        <v>19</v>
      </c>
    </row>
    <row r="97" spans="2:24">
      <c r="B97" s="12" t="s">
        <v>47</v>
      </c>
      <c r="C97" s="4" t="str">
        <f>VLOOKUP(B97,'拌客源数据1-8月'!D:E,2,FALSE)</f>
        <v>五角场店</v>
      </c>
      <c r="D97" s="5"/>
      <c r="E97" s="5"/>
      <c r="F97" s="4" t="s">
        <v>119</v>
      </c>
      <c r="G97" s="4">
        <v>2</v>
      </c>
      <c r="O97" s="12" t="s">
        <v>47</v>
      </c>
      <c r="P97" s="3">
        <f t="shared" ref="P97:P103" si="9">VLOOKUP(O97,$O$109:$P$118,2,FALSE)</f>
        <v>16838.82</v>
      </c>
      <c r="S97" s="4" t="s">
        <v>98</v>
      </c>
      <c r="T97" s="4" t="s">
        <v>107</v>
      </c>
      <c r="U97" s="4">
        <v>2</v>
      </c>
      <c r="W97" s="19" t="s">
        <v>132</v>
      </c>
      <c r="X97">
        <v>1</v>
      </c>
    </row>
    <row r="98" spans="2:24">
      <c r="B98" s="12" t="s">
        <v>44</v>
      </c>
      <c r="C98" s="4" t="str">
        <f>VLOOKUP(B98,'拌客源数据1-8月'!D:E,2,FALSE)</f>
        <v>龙阳广场店</v>
      </c>
      <c r="D98" s="5"/>
      <c r="E98" s="5"/>
      <c r="F98" s="4" t="s">
        <v>118</v>
      </c>
      <c r="G98" s="4">
        <v>3</v>
      </c>
      <c r="I98" t="s">
        <v>120</v>
      </c>
      <c r="O98" s="12" t="s">
        <v>44</v>
      </c>
      <c r="P98" s="3">
        <f t="shared" si="9"/>
        <v>6452.04</v>
      </c>
      <c r="S98" s="4" t="s">
        <v>99</v>
      </c>
      <c r="T98" s="4" t="s">
        <v>108</v>
      </c>
      <c r="U98" s="4">
        <v>3</v>
      </c>
      <c r="W98" s="19" t="s">
        <v>133</v>
      </c>
      <c r="X98">
        <v>5</v>
      </c>
    </row>
    <row r="99" spans="2:24">
      <c r="B99" s="12" t="s">
        <v>45</v>
      </c>
      <c r="C99" s="4" t="str">
        <f>VLOOKUP(B99,'拌客源数据1-8月'!D:E,2,FALSE)</f>
        <v>五角场店</v>
      </c>
      <c r="D99" s="5"/>
      <c r="E99" s="5"/>
      <c r="F99" s="4" t="s">
        <v>130</v>
      </c>
      <c r="G99" s="4">
        <v>4</v>
      </c>
      <c r="I99" s="4" t="s">
        <v>107</v>
      </c>
      <c r="J99" s="4">
        <f>VLOOKUP(I99&amp;"??",F95:G103,2,FALSE)</f>
        <v>7</v>
      </c>
      <c r="O99" s="12" t="s">
        <v>45</v>
      </c>
      <c r="P99" s="3">
        <f t="shared" si="9"/>
        <v>60286.000000000022</v>
      </c>
      <c r="S99" s="4" t="s">
        <v>99</v>
      </c>
      <c r="T99" s="4" t="s">
        <v>108</v>
      </c>
      <c r="U99" s="4">
        <v>4</v>
      </c>
      <c r="W99" s="19" t="s">
        <v>134</v>
      </c>
      <c r="X99">
        <v>13</v>
      </c>
    </row>
    <row r="100" spans="2:24">
      <c r="B100" s="12" t="s">
        <v>48</v>
      </c>
      <c r="C100" s="4" t="str">
        <f>VLOOKUP(B100,'拌客源数据1-8月'!D:E,2,FALSE)</f>
        <v>怒江路店</v>
      </c>
      <c r="D100" s="5"/>
      <c r="E100" s="5"/>
      <c r="F100" s="4" t="s">
        <v>131</v>
      </c>
      <c r="G100" s="4">
        <v>5</v>
      </c>
      <c r="O100" s="12" t="s">
        <v>48</v>
      </c>
      <c r="P100" s="3">
        <f t="shared" si="9"/>
        <v>4313.57</v>
      </c>
      <c r="S100" s="4" t="s">
        <v>99</v>
      </c>
      <c r="T100" s="4" t="s">
        <v>106</v>
      </c>
      <c r="U100" s="4">
        <v>5</v>
      </c>
      <c r="W100" s="14" t="s">
        <v>138</v>
      </c>
      <c r="X100">
        <v>10</v>
      </c>
    </row>
    <row r="101" spans="2:24">
      <c r="B101" s="12" t="s">
        <v>49</v>
      </c>
      <c r="C101" s="4" t="str">
        <f>VLOOKUP(B101,'拌客源数据1-8月'!D:E,2,FALSE)</f>
        <v>宝山店</v>
      </c>
      <c r="D101" s="5"/>
      <c r="E101" s="5"/>
      <c r="F101" s="4" t="s">
        <v>111</v>
      </c>
      <c r="G101" s="4">
        <v>6</v>
      </c>
      <c r="O101" s="12" t="s">
        <v>49</v>
      </c>
      <c r="P101" s="3">
        <f t="shared" si="9"/>
        <v>169975.03999999998</v>
      </c>
      <c r="S101" s="4" t="s">
        <v>103</v>
      </c>
      <c r="T101" s="4" t="s">
        <v>106</v>
      </c>
      <c r="U101" s="4">
        <v>6</v>
      </c>
      <c r="W101" s="19" t="s">
        <v>132</v>
      </c>
      <c r="X101">
        <v>2</v>
      </c>
    </row>
    <row r="102" spans="2:24">
      <c r="B102" s="12" t="s">
        <v>50</v>
      </c>
      <c r="C102" s="4" t="str">
        <f>VLOOKUP(B102,'拌客源数据1-8月'!D:E,2,FALSE)</f>
        <v>拌客干拌麻辣烫(武宁路店)</v>
      </c>
      <c r="D102" s="5"/>
      <c r="E102" s="5"/>
      <c r="F102" s="4" t="s">
        <v>112</v>
      </c>
      <c r="G102" s="4">
        <v>7</v>
      </c>
      <c r="O102" s="12" t="s">
        <v>50</v>
      </c>
      <c r="P102" s="3">
        <f t="shared" si="9"/>
        <v>425745.45999999996</v>
      </c>
      <c r="S102" s="4" t="s">
        <v>103</v>
      </c>
      <c r="T102" s="4" t="s">
        <v>106</v>
      </c>
      <c r="U102" s="4">
        <v>7</v>
      </c>
      <c r="W102" s="19" t="s">
        <v>135</v>
      </c>
      <c r="X102">
        <v>8</v>
      </c>
    </row>
    <row r="103" spans="2:24">
      <c r="B103" s="12" t="s">
        <v>51</v>
      </c>
      <c r="C103" s="4" t="str">
        <f>VLOOKUP(B103,'拌客源数据1-8月'!D:E,2,FALSE)</f>
        <v>拌客干拌麻辣烫(武宁路店)</v>
      </c>
      <c r="D103" s="5"/>
      <c r="E103" s="5"/>
      <c r="F103" s="4" t="s">
        <v>115</v>
      </c>
      <c r="G103" s="4">
        <v>8</v>
      </c>
      <c r="O103" s="12" t="s">
        <v>51</v>
      </c>
      <c r="P103" s="3">
        <f t="shared" si="9"/>
        <v>114007.74</v>
      </c>
      <c r="S103" s="4" t="s">
        <v>104</v>
      </c>
      <c r="T103" s="4" t="s">
        <v>107</v>
      </c>
      <c r="U103" s="4">
        <v>8</v>
      </c>
      <c r="W103" s="14" t="s">
        <v>139</v>
      </c>
      <c r="X103">
        <v>7</v>
      </c>
    </row>
    <row r="104" spans="2:24">
      <c r="B104" s="13"/>
      <c r="C104" s="5"/>
      <c r="D104" s="5"/>
      <c r="E104" s="5"/>
      <c r="F104" s="5"/>
      <c r="G104" s="5"/>
      <c r="O104" s="13"/>
      <c r="S104" s="5"/>
      <c r="T104" s="5"/>
      <c r="U104" s="5"/>
      <c r="W104" s="19" t="s">
        <v>133</v>
      </c>
      <c r="X104">
        <v>7</v>
      </c>
    </row>
    <row r="105" spans="2:24">
      <c r="B105" s="13"/>
      <c r="C105" s="5"/>
      <c r="D105" s="5"/>
      <c r="E105" s="5"/>
      <c r="F105" s="5"/>
      <c r="G105" s="5"/>
      <c r="O105" s="13"/>
      <c r="S105" s="5"/>
      <c r="T105" s="5"/>
      <c r="U105" s="5"/>
      <c r="W105" s="14" t="s">
        <v>128</v>
      </c>
      <c r="X105">
        <v>36</v>
      </c>
    </row>
    <row r="106" spans="2:24">
      <c r="B106" s="13"/>
      <c r="C106" s="5"/>
      <c r="D106" s="5"/>
      <c r="E106" s="5"/>
      <c r="F106" s="5"/>
      <c r="G106" s="5"/>
      <c r="O106" s="13"/>
    </row>
    <row r="109" spans="2:24">
      <c r="B109" t="s">
        <v>125</v>
      </c>
      <c r="O109" s="18" t="s">
        <v>152</v>
      </c>
      <c r="P109" t="s">
        <v>129</v>
      </c>
    </row>
    <row r="110" spans="2:24">
      <c r="O110" s="14" t="s">
        <v>45</v>
      </c>
      <c r="P110">
        <v>60286.000000000022</v>
      </c>
    </row>
    <row r="111" spans="2:24">
      <c r="B111" s="53" t="s">
        <v>11</v>
      </c>
      <c r="C111" s="54"/>
      <c r="D111" s="4" t="s">
        <v>95</v>
      </c>
      <c r="E111" s="4" t="s">
        <v>123</v>
      </c>
      <c r="F111" s="4" t="s">
        <v>124</v>
      </c>
      <c r="G111" s="4" t="s">
        <v>96</v>
      </c>
      <c r="H111" s="4" t="s">
        <v>55</v>
      </c>
      <c r="I111" s="4" t="s">
        <v>154</v>
      </c>
      <c r="J111" s="4" t="s">
        <v>69</v>
      </c>
      <c r="K111" s="5"/>
      <c r="O111" s="14" t="s">
        <v>46</v>
      </c>
      <c r="P111">
        <v>273854.58</v>
      </c>
    </row>
    <row r="112" spans="2:24">
      <c r="B112" s="22" t="s">
        <v>150</v>
      </c>
      <c r="C112" s="23"/>
      <c r="D112" s="4" t="str">
        <f>INDEX('拌客源数据1-8月'!$A:$I,MATCH($B112,'拌客源数据1-8月'!$I:$I,0),MATCH(D$111,'拌客源数据1-8月'!$A$1:$I$1,0))</f>
        <v>2001104355</v>
      </c>
      <c r="E112" s="4" t="str">
        <f>INDEX('拌客源数据1-8月'!$A:$I,MATCH(常用函数!$B112,'拌客源数据1-8月'!$I:$I,0),MATCH(常用函数!E$111,'拌客源数据1-8月'!$A$1:$I$1,0))</f>
        <v>蛙小辣火锅杯（总账号）</v>
      </c>
      <c r="F112" s="4">
        <f>INDEX('拌客源数据1-8月'!$A:$I,MATCH(常用函数!$B112,'拌客源数据1-8月'!$I:$I,0),MATCH(常用函数!F$111,'拌客源数据1-8月'!$A$1:$I$1,0))</f>
        <v>4636</v>
      </c>
      <c r="G112" s="4" t="str">
        <f>INDEX('拌客源数据1-8月'!$A:$I,MATCH(常用函数!$B112,'拌客源数据1-8月'!$I:$I,0),MATCH(常用函数!G$111,'拌客源数据1-8月'!$A$1:$I$1,0))</f>
        <v>宝山店</v>
      </c>
      <c r="H112" s="4">
        <f>SUMIFS(INDEX('拌客源数据1-8月'!$A:$X,0,MATCH(常用函数!H$111,'拌客源数据1-8月'!$A$1:$X$1,0)),'拌客源数据1-8月'!$I:$I,常用函数!$B112)</f>
        <v>116343.26000000004</v>
      </c>
      <c r="I112" s="4">
        <f>SUMIFS(INDEX('拌客源数据1-8月'!$A:$X,0,MATCH(常用函数!I$111,'拌客源数据1-8月'!$A$1:$X$1,0)),'拌客源数据1-8月'!$I:$I,常用函数!$B112)</f>
        <v>136370</v>
      </c>
      <c r="J112" s="4">
        <f>SUMIFS(INDEX('拌客源数据1-8月'!$A:$X,0,MATCH(常用函数!J$111,'拌客源数据1-8月'!$A$1:$X$1,0)),'拌客源数据1-8月'!$I:$I,常用函数!$B112)</f>
        <v>1646</v>
      </c>
      <c r="O112" s="14" t="s">
        <v>44</v>
      </c>
      <c r="P112">
        <v>6452.04</v>
      </c>
    </row>
    <row r="113" spans="2:16">
      <c r="B113" s="22" t="s">
        <v>23</v>
      </c>
      <c r="C113" s="23"/>
      <c r="D113" s="4" t="str">
        <f>INDEX('拌客源数据1-8月'!$A:$I,MATCH($B113,'拌客源数据1-8月'!$I:$I,0),MATCH(D$111,'拌客源数据1-8月'!$A$1:$I$1,0))</f>
        <v>8184590</v>
      </c>
      <c r="E113" s="4" t="str">
        <f>INDEX('拌客源数据1-8月'!$A:$I,MATCH(常用函数!$B113,'拌客源数据1-8月'!$I:$I,0),MATCH(常用函数!E$111,'拌客源数据1-8月'!$A$1:$I$1,0))</f>
        <v>蛙小辣火锅杯（总账号）</v>
      </c>
      <c r="F113" s="4">
        <f>INDEX('拌客源数据1-8月'!$A:$I,MATCH(常用函数!$B113,'拌客源数据1-8月'!$I:$I,0),MATCH(常用函数!F$111,'拌客源数据1-8月'!$A$1:$I$1,0))</f>
        <v>4636</v>
      </c>
      <c r="G113" s="4" t="str">
        <f>INDEX('拌客源数据1-8月'!$A:$I,MATCH(常用函数!$B113,'拌客源数据1-8月'!$I:$I,0),MATCH(常用函数!G$111,'拌客源数据1-8月'!$A$1:$I$1,0))</f>
        <v>五角场店</v>
      </c>
      <c r="H113" s="4">
        <f>SUMIFS(INDEX('拌客源数据1-8月'!$A:$X,0,MATCH(常用函数!H$111,'拌客源数据1-8月'!$A$1:$X$1,0)),'拌客源数据1-8月'!$I:$I,常用函数!$B113)</f>
        <v>6787.9800000000005</v>
      </c>
      <c r="I113" s="4">
        <f>SUMIFS(INDEX('拌客源数据1-8月'!$A:$X,0,MATCH(常用函数!I$111,'拌客源数据1-8月'!$A$1:$X$1,0)),'拌客源数据1-8月'!$I:$I,常用函数!$B113)</f>
        <v>9550</v>
      </c>
      <c r="J113" s="4">
        <f>SUMIFS(INDEX('拌客源数据1-8月'!$A:$X,0,MATCH(常用函数!J$111,'拌客源数据1-8月'!$A$1:$X$1,0)),'拌客源数据1-8月'!$I:$I,常用函数!$B113)</f>
        <v>113</v>
      </c>
      <c r="O113" s="14" t="s">
        <v>50</v>
      </c>
      <c r="P113">
        <v>425745.45999999996</v>
      </c>
    </row>
    <row r="114" spans="2:16">
      <c r="B114" s="22" t="s">
        <v>32</v>
      </c>
      <c r="C114" s="23"/>
      <c r="D114" s="4" t="str">
        <f>INDEX('拌客源数据1-8月'!$A:$I,MATCH($B114,'拌客源数据1-8月'!$I:$I,0),MATCH(D$111,'拌客源数据1-8月'!$A$1:$I$1,0))</f>
        <v>305225345</v>
      </c>
      <c r="E114" s="4" t="str">
        <f>INDEX('拌客源数据1-8月'!$A:$I,MATCH(常用函数!$B114,'拌客源数据1-8月'!$I:$I,0),MATCH(常用函数!E$111,'拌客源数据1-8月'!$A$1:$I$1,0))</f>
        <v>蛙小辣火锅杯（总账号）</v>
      </c>
      <c r="F114" s="4">
        <f>INDEX('拌客源数据1-8月'!$A:$I,MATCH(常用函数!$B114,'拌客源数据1-8月'!$I:$I,0),MATCH(常用函数!F$111,'拌客源数据1-8月'!$A$1:$I$1,0))</f>
        <v>4636</v>
      </c>
      <c r="G114" s="4" t="str">
        <f>INDEX('拌客源数据1-8月'!$A:$I,MATCH(常用函数!$B114,'拌客源数据1-8月'!$I:$I,0),MATCH(常用函数!G$111,'拌客源数据1-8月'!$A$1:$I$1,0))</f>
        <v>龙阳广场店</v>
      </c>
      <c r="H114" s="4">
        <f>SUMIFS(INDEX('拌客源数据1-8月'!$A:$X,0,MATCH(常用函数!H$111,'拌客源数据1-8月'!$A$1:$X$1,0)),'拌客源数据1-8月'!$I:$I,常用函数!$B114)</f>
        <v>6452.04</v>
      </c>
      <c r="I114" s="4">
        <f>SUMIFS(INDEX('拌客源数据1-8月'!$A:$X,0,MATCH(常用函数!I$111,'拌客源数据1-8月'!$A$1:$X$1,0)),'拌客源数据1-8月'!$I:$I,常用函数!$B114)</f>
        <v>7361</v>
      </c>
      <c r="J114" s="4">
        <f>SUMIFS(INDEX('拌客源数据1-8月'!$A:$X,0,MATCH(常用函数!J$111,'拌客源数据1-8月'!$A$1:$X$1,0)),'拌客源数据1-8月'!$I:$I,常用函数!$B114)</f>
        <v>108</v>
      </c>
      <c r="O114" s="14" t="s">
        <v>48</v>
      </c>
      <c r="P114">
        <v>4313.57</v>
      </c>
    </row>
    <row r="115" spans="2:16">
      <c r="B115" s="22" t="s">
        <v>30</v>
      </c>
      <c r="C115" s="23"/>
      <c r="D115" s="4" t="str">
        <f>INDEX('拌客源数据1-8月'!$A:$I,MATCH($B115,'拌客源数据1-8月'!$I:$I,0),MATCH(D$111,'拌客源数据1-8月'!$A$1:$I$1,0))</f>
        <v>2000507076</v>
      </c>
      <c r="E115" s="4" t="str">
        <f>INDEX('拌客源数据1-8月'!$A:$I,MATCH(常用函数!$B115,'拌客源数据1-8月'!$I:$I,0),MATCH(常用函数!E$111,'拌客源数据1-8月'!$A$1:$I$1,0))</f>
        <v>蛙小辣火锅杯（总账号）</v>
      </c>
      <c r="F115" s="4">
        <f>INDEX('拌客源数据1-8月'!$A:$I,MATCH(常用函数!$B115,'拌客源数据1-8月'!$I:$I,0),MATCH(常用函数!F$111,'拌客源数据1-8月'!$A$1:$I$1,0))</f>
        <v>4636</v>
      </c>
      <c r="G115" s="4" t="str">
        <f>INDEX('拌客源数据1-8月'!$A:$I,MATCH(常用函数!$B115,'拌客源数据1-8月'!$I:$I,0),MATCH(常用函数!G$111,'拌客源数据1-8月'!$A$1:$I$1,0))</f>
        <v>五角场店</v>
      </c>
      <c r="H115" s="4">
        <f>SUMIFS(INDEX('拌客源数据1-8月'!$A:$X,0,MATCH(常用函数!H$111,'拌客源数据1-8月'!$A$1:$X$1,0)),'拌客源数据1-8月'!$I:$I,常用函数!$B115)</f>
        <v>33744.82</v>
      </c>
      <c r="I115" s="4">
        <f>SUMIFS(INDEX('拌客源数据1-8月'!$A:$X,0,MATCH(常用函数!I$111,'拌客源数据1-8月'!$A$1:$X$1,0)),'拌客源数据1-8月'!$I:$I,常用函数!$B115)</f>
        <v>34948</v>
      </c>
      <c r="J115" s="4">
        <f>SUMIFS(INDEX('拌客源数据1-8月'!$A:$X,0,MATCH(常用函数!J$111,'拌客源数据1-8月'!$A$1:$X$1,0)),'拌客源数据1-8月'!$I:$I,常用函数!$B115)</f>
        <v>512</v>
      </c>
      <c r="O115" s="14" t="s">
        <v>47</v>
      </c>
      <c r="P115">
        <v>16838.82</v>
      </c>
    </row>
    <row r="116" spans="2:16">
      <c r="B116" s="22" t="s">
        <v>25</v>
      </c>
      <c r="C116" s="23"/>
      <c r="D116" s="4" t="str">
        <f>INDEX('拌客源数据1-8月'!$A:$I,MATCH($B116,'拌客源数据1-8月'!$I:$I,0),MATCH(D$111,'拌客源数据1-8月'!$A$1:$I$1,0))</f>
        <v>8106681</v>
      </c>
      <c r="E116" s="4" t="str">
        <f>INDEX('拌客源数据1-8月'!$A:$I,MATCH(常用函数!$B116,'拌客源数据1-8月'!$I:$I,0),MATCH(常用函数!E$111,'拌客源数据1-8月'!$A$1:$I$1,0))</f>
        <v>蛙小辣火锅杯（总账号）</v>
      </c>
      <c r="F116" s="4">
        <f>INDEX('拌客源数据1-8月'!$A:$I,MATCH(常用函数!$B116,'拌客源数据1-8月'!$I:$I,0),MATCH(常用函数!F$111,'拌客源数据1-8月'!$A$1:$I$1,0))</f>
        <v>4636</v>
      </c>
      <c r="G116" s="4" t="str">
        <f>INDEX('拌客源数据1-8月'!$A:$I,MATCH(常用函数!$B116,'拌客源数据1-8月'!$I:$I,0),MATCH(常用函数!G$111,'拌客源数据1-8月'!$A$1:$I$1,0))</f>
        <v>怒江路店</v>
      </c>
      <c r="H116" s="4">
        <f>SUMIFS(INDEX('拌客源数据1-8月'!$A:$X,0,MATCH(常用函数!H$111,'拌客源数据1-8月'!$A$1:$X$1,0)),'拌客源数据1-8月'!$I:$I,常用函数!$B116)</f>
        <v>4313.57</v>
      </c>
      <c r="I116" s="4">
        <f>SUMIFS(INDEX('拌客源数据1-8月'!$A:$X,0,MATCH(常用函数!I$111,'拌客源数据1-8月'!$A$1:$X$1,0)),'拌客源数据1-8月'!$I:$I,常用函数!$B116)</f>
        <v>4189</v>
      </c>
      <c r="J116" s="4">
        <f>SUMIFS(INDEX('拌客源数据1-8月'!$A:$X,0,MATCH(常用函数!J$111,'拌客源数据1-8月'!$A$1:$X$1,0)),'拌客源数据1-8月'!$I:$I,常用函数!$B116)</f>
        <v>66</v>
      </c>
      <c r="O116" s="14" t="s">
        <v>49</v>
      </c>
      <c r="P116">
        <v>169975.03999999998</v>
      </c>
    </row>
    <row r="117" spans="2:16">
      <c r="B117" s="22" t="s">
        <v>34</v>
      </c>
      <c r="C117" s="23"/>
      <c r="D117" s="4" t="str">
        <f>INDEX('拌客源数据1-8月'!$A:$I,MATCH($B117,'拌客源数据1-8月'!$I:$I,0),MATCH(D$111,'拌客源数据1-8月'!$A$1:$I$1,0))</f>
        <v>8491999</v>
      </c>
      <c r="E117" s="4" t="str">
        <f>INDEX('拌客源数据1-8月'!$A:$I,MATCH(常用函数!$B117,'拌客源数据1-8月'!$I:$I,0),MATCH(常用函数!E$111,'拌客源数据1-8月'!$A$1:$I$1,0))</f>
        <v>蛙小辣火锅杯（总账号）</v>
      </c>
      <c r="F117" s="4">
        <f>INDEX('拌客源数据1-8月'!$A:$I,MATCH(常用函数!$B117,'拌客源数据1-8月'!$I:$I,0),MATCH(常用函数!F$111,'拌客源数据1-8月'!$A$1:$I$1,0))</f>
        <v>4636</v>
      </c>
      <c r="G117" s="4" t="str">
        <f>INDEX('拌客源数据1-8月'!$A:$I,MATCH(常用函数!$B117,'拌客源数据1-8月'!$I:$I,0),MATCH(常用函数!G$111,'拌客源数据1-8月'!$A$1:$I$1,0))</f>
        <v>宝山店</v>
      </c>
      <c r="H117" s="4">
        <f>SUMIFS(INDEX('拌客源数据1-8月'!$A:$X,0,MATCH(常用函数!H$111,'拌客源数据1-8月'!$A$1:$X$1,0)),'拌客源数据1-8月'!$I:$I,常用函数!$B117)</f>
        <v>169975.03999999998</v>
      </c>
      <c r="I117" s="4">
        <f>SUMIFS(INDEX('拌客源数据1-8月'!$A:$X,0,MATCH(常用函数!I$111,'拌客源数据1-8月'!$A$1:$X$1,0)),'拌客源数据1-8月'!$I:$I,常用函数!$B117)</f>
        <v>206516</v>
      </c>
      <c r="J117" s="4">
        <f>SUMIFS(INDEX('拌客源数据1-8月'!$A:$X,0,MATCH(常用函数!J$111,'拌客源数据1-8月'!$A$1:$X$1,0)),'拌客源数据1-8月'!$I:$I,常用函数!$B117)</f>
        <v>2969</v>
      </c>
      <c r="O117" s="14" t="s">
        <v>51</v>
      </c>
      <c r="P117">
        <v>114007.74</v>
      </c>
    </row>
    <row r="118" spans="2:16">
      <c r="B118" s="22" t="s">
        <v>33</v>
      </c>
      <c r="C118" s="23"/>
      <c r="D118" s="4" t="str">
        <f>INDEX('拌客源数据1-8月'!$A:$I,MATCH($B118,'拌客源数据1-8月'!$I:$I,0),MATCH(D$111,'拌客源数据1-8月'!$A$1:$I$1,0))</f>
        <v>8184590</v>
      </c>
      <c r="E118" s="4" t="str">
        <f>INDEX('拌客源数据1-8月'!$A:$I,MATCH(常用函数!$B118,'拌客源数据1-8月'!$I:$I,0),MATCH(常用函数!E$111,'拌客源数据1-8月'!$A$1:$I$1,0))</f>
        <v>蛙小辣火锅杯（总账号）</v>
      </c>
      <c r="F118" s="4">
        <f>INDEX('拌客源数据1-8月'!$A:$I,MATCH(常用函数!$B118,'拌客源数据1-8月'!$I:$I,0),MATCH(常用函数!F$111,'拌客源数据1-8月'!$A$1:$I$1,0))</f>
        <v>4636</v>
      </c>
      <c r="G118" s="4" t="str">
        <f>INDEX('拌客源数据1-8月'!$A:$I,MATCH(常用函数!$B118,'拌客源数据1-8月'!$I:$I,0),MATCH(常用函数!G$111,'拌客源数据1-8月'!$A$1:$I$1,0))</f>
        <v>五角场店</v>
      </c>
      <c r="H118" s="4">
        <f>SUMIFS(INDEX('拌客源数据1-8月'!$A:$X,0,MATCH(常用函数!H$111,'拌客源数据1-8月'!$A$1:$X$1,0)),'拌客源数据1-8月'!$I:$I,常用函数!$B118)</f>
        <v>9368.7099999999973</v>
      </c>
      <c r="I118" s="4">
        <f>SUMIFS(INDEX('拌客源数据1-8月'!$A:$X,0,MATCH(常用函数!I$111,'拌客源数据1-8月'!$A$1:$X$1,0)),'拌客源数据1-8月'!$I:$I,常用函数!$B118)</f>
        <v>14896</v>
      </c>
      <c r="J118" s="4">
        <f>SUMIFS(INDEX('拌客源数据1-8月'!$A:$X,0,MATCH(常用函数!J$111,'拌客源数据1-8月'!$A$1:$X$1,0)),'拌客源数据1-8月'!$I:$I,常用函数!$B118)</f>
        <v>154</v>
      </c>
      <c r="O118" s="14" t="s">
        <v>153</v>
      </c>
      <c r="P118">
        <v>1071473.2499999998</v>
      </c>
    </row>
    <row r="119" spans="2:16">
      <c r="B119" s="22" t="s">
        <v>35</v>
      </c>
      <c r="C119" s="23"/>
      <c r="D119" s="4" t="str">
        <f>INDEX('拌客源数据1-8月'!$A:$I,MATCH($B119,'拌客源数据1-8月'!$I:$I,0),MATCH(D$111,'拌客源数据1-8月'!$A$1:$I$1,0))</f>
        <v>2000507076</v>
      </c>
      <c r="E119" s="4" t="str">
        <f>INDEX('拌客源数据1-8月'!$A:$I,MATCH(常用函数!$B119,'拌客源数据1-8月'!$I:$I,0),MATCH(常用函数!E$111,'拌客源数据1-8月'!$A$1:$I$1,0))</f>
        <v>蛙小辣火锅杯（总账号）</v>
      </c>
      <c r="F119" s="4">
        <f>INDEX('拌客源数据1-8月'!$A:$I,MATCH(常用函数!$B119,'拌客源数据1-8月'!$I:$I,0),MATCH(常用函数!F$111,'拌客源数据1-8月'!$A$1:$I$1,0))</f>
        <v>4636</v>
      </c>
      <c r="G119" s="4" t="str">
        <f>INDEX('拌客源数据1-8月'!$A:$I,MATCH(常用函数!$B119,'拌客源数据1-8月'!$I:$I,0),MATCH(常用函数!G$111,'拌客源数据1-8月'!$A$1:$I$1,0))</f>
        <v>五角场店</v>
      </c>
      <c r="H119" s="4">
        <f>SUMIFS(INDEX('拌客源数据1-8月'!$A:$X,0,MATCH(常用函数!H$111,'拌客源数据1-8月'!$A$1:$X$1,0)),'拌客源数据1-8月'!$I:$I,常用函数!$B119)</f>
        <v>784.71</v>
      </c>
      <c r="I119" s="4">
        <f>SUMIFS(INDEX('拌客源数据1-8月'!$A:$X,0,MATCH(常用函数!I$111,'拌客源数据1-8月'!$A$1:$X$1,0)),'拌客源数据1-8月'!$I:$I,常用函数!$B119)</f>
        <v>943</v>
      </c>
      <c r="J119" s="4">
        <f>SUMIFS(INDEX('拌客源数据1-8月'!$A:$X,0,MATCH(常用函数!J$111,'拌客源数据1-8月'!$A$1:$X$1,0)),'拌客源数据1-8月'!$I:$I,常用函数!$B119)</f>
        <v>11</v>
      </c>
    </row>
    <row r="120" spans="2:16">
      <c r="B120" s="22" t="s">
        <v>36</v>
      </c>
      <c r="C120" s="23"/>
      <c r="D120" s="4" t="str">
        <f>INDEX('拌客源数据1-8月'!$A:$I,MATCH($B120,'拌客源数据1-8月'!$I:$I,0),MATCH(D$111,'拌客源数据1-8月'!$A$1:$I$1,0))</f>
        <v>2000507076</v>
      </c>
      <c r="E120" s="4" t="str">
        <f>INDEX('拌客源数据1-8月'!$A:$I,MATCH(常用函数!$B120,'拌客源数据1-8月'!$I:$I,0),MATCH(常用函数!E$111,'拌客源数据1-8月'!$A$1:$I$1,0))</f>
        <v>蛙小辣火锅杯（总账号）</v>
      </c>
      <c r="F120" s="4">
        <f>INDEX('拌客源数据1-8月'!$A:$I,MATCH(常用函数!$B120,'拌客源数据1-8月'!$I:$I,0),MATCH(常用函数!F$111,'拌客源数据1-8月'!$A$1:$I$1,0))</f>
        <v>4636</v>
      </c>
      <c r="G120" s="4" t="str">
        <f>INDEX('拌客源数据1-8月'!$A:$I,MATCH(常用函数!$B120,'拌客源数据1-8月'!$I:$I,0),MATCH(常用函数!G$111,'拌客源数据1-8月'!$A$1:$I$1,0))</f>
        <v>五角场店</v>
      </c>
      <c r="H120" s="4">
        <f>SUMIFS(INDEX('拌客源数据1-8月'!$A:$X,0,MATCH(常用函数!H$111,'拌客源数据1-8月'!$A$1:$X$1,0)),'拌客源数据1-8月'!$I:$I,常用函数!$B120)</f>
        <v>11932.99</v>
      </c>
      <c r="I120" s="4">
        <f>SUMIFS(INDEX('拌客源数据1-8月'!$A:$X,0,MATCH(常用函数!I$111,'拌客源数据1-8月'!$A$1:$X$1,0)),'拌客源数据1-8月'!$I:$I,常用函数!$B120)</f>
        <v>9441</v>
      </c>
      <c r="J120" s="4">
        <f>SUMIFS(INDEX('拌客源数据1-8月'!$A:$X,0,MATCH(常用函数!J$111,'拌客源数据1-8月'!$A$1:$X$1,0)),'拌客源数据1-8月'!$I:$I,常用函数!$B120)</f>
        <v>167</v>
      </c>
    </row>
    <row r="121" spans="2:16">
      <c r="B121" s="22" t="s">
        <v>37</v>
      </c>
      <c r="C121" s="23"/>
      <c r="D121" s="4" t="str">
        <f>INDEX('拌客源数据1-8月'!$A:$I,MATCH($B121,'拌客源数据1-8月'!$I:$I,0),MATCH(D$111,'拌客源数据1-8月'!$A$1:$I$1,0))</f>
        <v>2001104355</v>
      </c>
      <c r="E121" s="4" t="str">
        <f>INDEX('拌客源数据1-8月'!$A:$I,MATCH(常用函数!$B121,'拌客源数据1-8月'!$I:$I,0),MATCH(常用函数!E$111,'拌客源数据1-8月'!$A$1:$I$1,0))</f>
        <v>蛙小辣火锅杯（总账号）</v>
      </c>
      <c r="F121" s="4">
        <f>INDEX('拌客源数据1-8月'!$A:$I,MATCH(常用函数!$B121,'拌客源数据1-8月'!$I:$I,0),MATCH(常用函数!F$111,'拌客源数据1-8月'!$A$1:$I$1,0))</f>
        <v>4636</v>
      </c>
      <c r="G121" s="4" t="str">
        <f>INDEX('拌客源数据1-8月'!$A:$I,MATCH(常用函数!$B121,'拌客源数据1-8月'!$I:$I,0),MATCH(常用函数!G$111,'拌客源数据1-8月'!$A$1:$I$1,0))</f>
        <v>宝山店</v>
      </c>
      <c r="H121" s="4">
        <f>SUMIFS(INDEX('拌客源数据1-8月'!$A:$X,0,MATCH(常用函数!H$111,'拌客源数据1-8月'!$A$1:$X$1,0)),'拌客源数据1-8月'!$I:$I,常用函数!$B121)</f>
        <v>157511.31999999995</v>
      </c>
      <c r="I121" s="4">
        <f>SUMIFS(INDEX('拌客源数据1-8月'!$A:$X,0,MATCH(常用函数!I$111,'拌客源数据1-8月'!$A$1:$X$1,0)),'拌客源数据1-8月'!$I:$I,常用函数!$B121)</f>
        <v>153295</v>
      </c>
      <c r="J121" s="4">
        <f>SUMIFS(INDEX('拌客源数据1-8月'!$A:$X,0,MATCH(常用函数!J$111,'拌客源数据1-8月'!$A$1:$X$1,0)),'拌客源数据1-8月'!$I:$I,常用函数!$B121)</f>
        <v>2362</v>
      </c>
    </row>
    <row r="122" spans="2:16">
      <c r="B122" s="22" t="s">
        <v>38</v>
      </c>
      <c r="C122" s="23"/>
      <c r="D122" s="4" t="str">
        <f>INDEX('拌客源数据1-8月'!$A:$I,MATCH($B122,'拌客源数据1-8月'!$I:$I,0),MATCH(D$111,'拌客源数据1-8月'!$A$1:$I$1,0))</f>
        <v>2000507076</v>
      </c>
      <c r="E122" s="4" t="str">
        <f>INDEX('拌客源数据1-8月'!$A:$I,MATCH(常用函数!$B122,'拌客源数据1-8月'!$I:$I,0),MATCH(常用函数!E$111,'拌客源数据1-8月'!$A$1:$I$1,0))</f>
        <v>蛙小辣火锅杯（总账号）</v>
      </c>
      <c r="F122" s="4">
        <f>INDEX('拌客源数据1-8月'!$A:$I,MATCH(常用函数!$B122,'拌客源数据1-8月'!$I:$I,0),MATCH(常用函数!F$111,'拌客源数据1-8月'!$A$1:$I$1,0))</f>
        <v>4636</v>
      </c>
      <c r="G122" s="4" t="str">
        <f>INDEX('拌客源数据1-8月'!$A:$I,MATCH(常用函数!$B122,'拌客源数据1-8月'!$I:$I,0),MATCH(常用函数!G$111,'拌客源数据1-8月'!$A$1:$I$1,0))</f>
        <v>五角场店</v>
      </c>
      <c r="H122" s="4">
        <f>SUMIFS(INDEX('拌客源数据1-8月'!$A:$X,0,MATCH(常用函数!H$111,'拌客源数据1-8月'!$A$1:$X$1,0)),'拌客源数据1-8月'!$I:$I,常用函数!$B122)</f>
        <v>13823.480000000001</v>
      </c>
      <c r="I122" s="4">
        <f>SUMIFS(INDEX('拌客源数据1-8月'!$A:$X,0,MATCH(常用函数!I$111,'拌客源数据1-8月'!$A$1:$X$1,0)),'拌客源数据1-8月'!$I:$I,常用函数!$B122)</f>
        <v>10651</v>
      </c>
      <c r="J122" s="4">
        <f>SUMIFS(INDEX('拌客源数据1-8月'!$A:$X,0,MATCH(常用函数!J$111,'拌客源数据1-8月'!$A$1:$X$1,0)),'拌客源数据1-8月'!$I:$I,常用函数!$B122)</f>
        <v>205</v>
      </c>
    </row>
    <row r="123" spans="2:16">
      <c r="B123" s="22" t="s">
        <v>39</v>
      </c>
      <c r="C123" s="23"/>
      <c r="D123" s="4" t="str">
        <f>INDEX('拌客源数据1-8月'!$A:$I,MATCH($B123,'拌客源数据1-8月'!$I:$I,0),MATCH(D$111,'拌客源数据1-8月'!$A$1:$I$1,0))</f>
        <v>8184590</v>
      </c>
      <c r="E123" s="4" t="str">
        <f>INDEX('拌客源数据1-8月'!$A:$I,MATCH(常用函数!$B123,'拌客源数据1-8月'!$I:$I,0),MATCH(常用函数!E$111,'拌客源数据1-8月'!$A$1:$I$1,0))</f>
        <v>蛙小辣火锅杯（总账号）</v>
      </c>
      <c r="F123" s="4">
        <f>INDEX('拌客源数据1-8月'!$A:$I,MATCH(常用函数!$B123,'拌客源数据1-8月'!$I:$I,0),MATCH(常用函数!F$111,'拌客源数据1-8月'!$A$1:$I$1,0))</f>
        <v>4636</v>
      </c>
      <c r="G123" s="4" t="str">
        <f>INDEX('拌客源数据1-8月'!$A:$I,MATCH(常用函数!$B123,'拌客源数据1-8月'!$I:$I,0),MATCH(常用函数!G$111,'拌客源数据1-8月'!$A$1:$I$1,0))</f>
        <v>五角场店</v>
      </c>
      <c r="H123" s="4">
        <f>SUMIFS(INDEX('拌客源数据1-8月'!$A:$X,0,MATCH(常用函数!H$111,'拌客源数据1-8月'!$A$1:$X$1,0)),'拌客源数据1-8月'!$I:$I,常用函数!$B123)</f>
        <v>682.13</v>
      </c>
      <c r="I123" s="4">
        <f>SUMIFS(INDEX('拌客源数据1-8月'!$A:$X,0,MATCH(常用函数!I$111,'拌客源数据1-8月'!$A$1:$X$1,0)),'拌客源数据1-8月'!$I:$I,常用函数!$B123)</f>
        <v>803</v>
      </c>
      <c r="J123" s="4">
        <f>SUMIFS(INDEX('拌客源数据1-8月'!$A:$X,0,MATCH(常用函数!J$111,'拌客源数据1-8月'!$A$1:$X$1,0)),'拌客源数据1-8月'!$I:$I,常用函数!$B123)</f>
        <v>8</v>
      </c>
    </row>
    <row r="124" spans="2:16">
      <c r="B124" s="22" t="s">
        <v>41</v>
      </c>
      <c r="C124" s="23"/>
      <c r="D124" s="4" t="str">
        <f>INDEX('拌客源数据1-8月'!$A:$I,MATCH($B124,'拌客源数据1-8月'!$I:$I,0),MATCH(D$111,'拌客源数据1-8月'!$A$1:$I$1,0))</f>
        <v>337460136</v>
      </c>
      <c r="E124" s="4" t="str">
        <f>INDEX('拌客源数据1-8月'!$A:$I,MATCH(常用函数!$B124,'拌客源数据1-8月'!$I:$I,0),MATCH(常用函数!E$111,'拌客源数据1-8月'!$A$1:$I$1,0))</f>
        <v>拌客（武宁路店）</v>
      </c>
      <c r="F124" s="4">
        <f>INDEX('拌客源数据1-8月'!$A:$I,MATCH(常用函数!$B124,'拌客源数据1-8月'!$I:$I,0),MATCH(常用函数!F$111,'拌客源数据1-8月'!$A$1:$I$1,0))</f>
        <v>6108</v>
      </c>
      <c r="G124" s="4" t="str">
        <f>INDEX('拌客源数据1-8月'!$A:$I,MATCH(常用函数!$B124,'拌客源数据1-8月'!$I:$I,0),MATCH(常用函数!G$111,'拌客源数据1-8月'!$A$1:$I$1,0))</f>
        <v>拌客干拌麻辣烫(武宁路店)</v>
      </c>
      <c r="H124" s="4">
        <f>SUMIFS(INDEX('拌客源数据1-8月'!$A:$X,0,MATCH(常用函数!H$111,'拌客源数据1-8月'!$A$1:$X$1,0)),'拌客源数据1-8月'!$I:$I,常用函数!$B124)</f>
        <v>3913.76</v>
      </c>
      <c r="I124" s="4">
        <f>SUMIFS(INDEX('拌客源数据1-8月'!$A:$X,0,MATCH(常用函数!I$111,'拌客源数据1-8月'!$A$1:$X$1,0)),'拌客源数据1-8月'!$I:$I,常用函数!$B124)</f>
        <v>6671</v>
      </c>
      <c r="J124" s="4">
        <f>SUMIFS(INDEX('拌客源数据1-8月'!$A:$X,0,MATCH(常用函数!J$111,'拌客源数据1-8月'!$A$1:$X$1,0)),'拌客源数据1-8月'!$I:$I,常用函数!$B124)</f>
        <v>72</v>
      </c>
    </row>
    <row r="125" spans="2:16">
      <c r="B125" s="22" t="s">
        <v>42</v>
      </c>
      <c r="C125" s="23"/>
      <c r="D125" s="4" t="str">
        <f>INDEX('拌客源数据1-8月'!$A:$I,MATCH($B125,'拌客源数据1-8月'!$I:$I,0),MATCH(D$111,'拌客源数据1-8月'!$A$1:$I$1,0))</f>
        <v>337460136</v>
      </c>
      <c r="E125" s="4" t="str">
        <f>INDEX('拌客源数据1-8月'!$A:$I,MATCH(常用函数!$B125,'拌客源数据1-8月'!$I:$I,0),MATCH(常用函数!E$111,'拌客源数据1-8月'!$A$1:$I$1,0))</f>
        <v>拌客（武宁路店）</v>
      </c>
      <c r="F125" s="4">
        <f>INDEX('拌客源数据1-8月'!$A:$I,MATCH(常用函数!$B125,'拌客源数据1-8月'!$I:$I,0),MATCH(常用函数!F$111,'拌客源数据1-8月'!$A$1:$I$1,0))</f>
        <v>6108</v>
      </c>
      <c r="G125" s="4" t="str">
        <f>INDEX('拌客源数据1-8月'!$A:$I,MATCH(常用函数!$B125,'拌客源数据1-8月'!$I:$I,0),MATCH(常用函数!G$111,'拌客源数据1-8月'!$A$1:$I$1,0))</f>
        <v>拌客干拌麻辣烫(武宁路店)</v>
      </c>
      <c r="H125" s="4">
        <f>SUMIFS(INDEX('拌客源数据1-8月'!$A:$X,0,MATCH(常用函数!H$111,'拌客源数据1-8月'!$A$1:$X$1,0)),'拌客源数据1-8月'!$I:$I,常用函数!$B125)</f>
        <v>421831.69999999995</v>
      </c>
      <c r="I125" s="4">
        <f>SUMIFS(INDEX('拌客源数据1-8月'!$A:$X,0,MATCH(常用函数!I$111,'拌客源数据1-8月'!$A$1:$X$1,0)),'拌客源数据1-8月'!$I:$I,常用函数!$B125)</f>
        <v>476886</v>
      </c>
      <c r="J125" s="4">
        <f>SUMIFS(INDEX('拌客源数据1-8月'!$A:$X,0,MATCH(常用函数!J$111,'拌客源数据1-8月'!$A$1:$X$1,0)),'拌客源数据1-8月'!$I:$I,常用函数!$B125)</f>
        <v>8314</v>
      </c>
    </row>
    <row r="126" spans="2:16">
      <c r="B126" s="22" t="s">
        <v>43</v>
      </c>
      <c r="C126" s="23"/>
      <c r="D126" s="4" t="str">
        <f>INDEX('拌客源数据1-8月'!$A:$I,MATCH($B126,'拌客源数据1-8月'!$I:$I,0),MATCH(D$111,'拌客源数据1-8月'!$A$1:$I$1,0))</f>
        <v>9428110</v>
      </c>
      <c r="E126" s="4" t="str">
        <f>INDEX('拌客源数据1-8月'!$A:$I,MATCH(常用函数!$B126,'拌客源数据1-8月'!$I:$I,0),MATCH(常用函数!E$111,'拌客源数据1-8月'!$A$1:$I$1,0))</f>
        <v>拌客（武宁路店）</v>
      </c>
      <c r="F126" s="4">
        <f>INDEX('拌客源数据1-8月'!$A:$I,MATCH(常用函数!$B126,'拌客源数据1-8月'!$I:$I,0),MATCH(常用函数!F$111,'拌客源数据1-8月'!$A$1:$I$1,0))</f>
        <v>6108</v>
      </c>
      <c r="G126" s="4" t="str">
        <f>INDEX('拌客源数据1-8月'!$A:$I,MATCH(常用函数!$B126,'拌客源数据1-8月'!$I:$I,0),MATCH(常用函数!G$111,'拌客源数据1-8月'!$A$1:$I$1,0))</f>
        <v>拌客干拌麻辣烫(武宁路店)</v>
      </c>
      <c r="H126" s="4">
        <f>SUMIFS(INDEX('拌客源数据1-8月'!$A:$X,0,MATCH(常用函数!H$111,'拌客源数据1-8月'!$A$1:$X$1,0)),'拌客源数据1-8月'!$I:$I,常用函数!$B126)</f>
        <v>114007.74</v>
      </c>
      <c r="I126" s="4">
        <f>SUMIFS(INDEX('拌客源数据1-8月'!$A:$X,0,MATCH(常用函数!I$111,'拌客源数据1-8月'!$A$1:$X$1,0)),'拌客源数据1-8月'!$I:$I,常用函数!$B126)</f>
        <v>107480</v>
      </c>
      <c r="J126" s="4">
        <f>SUMIFS(INDEX('拌客源数据1-8月'!$A:$X,0,MATCH(常用函数!J$111,'拌客源数据1-8月'!$A$1:$X$1,0)),'拌客源数据1-8月'!$I:$I,常用函数!$B126)</f>
        <v>2329</v>
      </c>
    </row>
    <row r="127" spans="2:16">
      <c r="B127" s="14"/>
      <c r="C127" s="14"/>
      <c r="D127" s="5"/>
      <c r="E127" s="5"/>
      <c r="F127" s="5"/>
      <c r="G127" s="5"/>
    </row>
    <row r="128" spans="2:16">
      <c r="B128" s="14"/>
      <c r="C128" s="14"/>
      <c r="D128" s="5"/>
      <c r="E128" s="5"/>
      <c r="F128" s="5"/>
      <c r="G128" s="5"/>
      <c r="H128" s="5"/>
    </row>
    <row r="129" spans="2:10">
      <c r="B129" s="14"/>
      <c r="C129" s="14"/>
      <c r="D129" s="14"/>
      <c r="E129" s="5"/>
      <c r="F129" s="5"/>
      <c r="G129" s="5"/>
      <c r="H129" s="5"/>
      <c r="I129" s="5"/>
      <c r="J129" s="5"/>
    </row>
    <row r="130" spans="2:10">
      <c r="B130" s="14"/>
      <c r="C130" s="14"/>
      <c r="D130" s="5"/>
      <c r="E130" s="5"/>
      <c r="F130" s="5"/>
      <c r="G130" s="5"/>
      <c r="H130" s="5"/>
      <c r="I130" s="5"/>
      <c r="J130" s="5"/>
    </row>
    <row r="131" spans="2:10">
      <c r="B131" s="14"/>
      <c r="C131" s="14"/>
      <c r="D131" s="5"/>
      <c r="E131" s="5"/>
      <c r="F131" s="5"/>
      <c r="G131" s="5"/>
      <c r="H131" s="5"/>
      <c r="I131" s="5"/>
      <c r="J131" s="5"/>
    </row>
    <row r="132" spans="2:10">
      <c r="D132" s="5"/>
      <c r="E132" s="5"/>
      <c r="F132" s="5"/>
      <c r="G132" s="5"/>
      <c r="H132" s="5"/>
      <c r="I132" s="5"/>
      <c r="J132" s="5"/>
    </row>
    <row r="133" spans="2:10">
      <c r="D133" s="5"/>
      <c r="E133" s="5"/>
      <c r="F133" s="5"/>
      <c r="G133" s="5"/>
      <c r="H133" s="5"/>
      <c r="I133" s="5"/>
      <c r="J133" s="5"/>
    </row>
    <row r="134" spans="2:10">
      <c r="D134" s="5"/>
      <c r="E134" s="5"/>
      <c r="F134" s="5"/>
      <c r="G134" s="5"/>
      <c r="H134" s="5"/>
      <c r="I134" s="5"/>
      <c r="J134" s="5"/>
    </row>
    <row r="135" spans="2:10">
      <c r="D135" s="5"/>
      <c r="E135" s="5"/>
      <c r="F135" s="5"/>
      <c r="G135" s="5"/>
      <c r="H135" s="5"/>
      <c r="I135" s="5"/>
      <c r="J135" s="5"/>
    </row>
    <row r="136" spans="2:10">
      <c r="D136" s="5"/>
      <c r="E136" s="5"/>
      <c r="F136" s="5"/>
      <c r="G136" s="5"/>
      <c r="H136" s="5"/>
      <c r="I136" s="5"/>
      <c r="J136" s="5"/>
    </row>
    <row r="137" spans="2:10">
      <c r="D137" s="5"/>
      <c r="E137" s="5"/>
      <c r="F137" s="5"/>
      <c r="G137" s="5"/>
      <c r="H137" s="5"/>
      <c r="I137" s="5"/>
      <c r="J137" s="5"/>
    </row>
    <row r="138" spans="2:10">
      <c r="D138" s="5"/>
      <c r="E138" s="5"/>
      <c r="F138" s="5"/>
      <c r="G138" s="5"/>
      <c r="H138" s="5"/>
      <c r="I138" s="5"/>
      <c r="J138" s="5"/>
    </row>
    <row r="139" spans="2:10">
      <c r="D139" s="5"/>
      <c r="E139" s="5"/>
      <c r="F139" s="5"/>
      <c r="G139" s="5"/>
      <c r="H139" s="5"/>
      <c r="I139" s="5"/>
      <c r="J139" s="5"/>
    </row>
    <row r="140" spans="2:10">
      <c r="D140" s="5"/>
      <c r="E140" s="5"/>
      <c r="F140" s="5"/>
      <c r="G140" s="5"/>
      <c r="H140" s="5"/>
      <c r="I140" s="5"/>
      <c r="J140" s="5"/>
    </row>
    <row r="141" spans="2:10">
      <c r="D141" s="5"/>
      <c r="E141" s="5"/>
      <c r="F141" s="5"/>
      <c r="G141" s="5"/>
      <c r="H141" s="5"/>
      <c r="I141" s="5"/>
      <c r="J141" s="5"/>
    </row>
    <row r="142" spans="2:10">
      <c r="D142" s="5"/>
      <c r="E142" s="5"/>
      <c r="F142" s="5"/>
      <c r="G142" s="5"/>
      <c r="H142" s="5"/>
      <c r="I142" s="5"/>
      <c r="J142" s="5"/>
    </row>
    <row r="143" spans="2:10">
      <c r="D143" s="5"/>
      <c r="E143" s="5"/>
      <c r="F143" s="5"/>
      <c r="G143" s="5"/>
      <c r="H143" s="5"/>
      <c r="I143" s="5"/>
      <c r="J143" s="5"/>
    </row>
    <row r="144" spans="2:10">
      <c r="E144" s="5"/>
      <c r="F144" s="5"/>
      <c r="G144" s="5"/>
      <c r="H144" s="5"/>
      <c r="I144" s="5"/>
      <c r="J144" s="5"/>
    </row>
    <row r="145" spans="5:10">
      <c r="E145" s="5"/>
      <c r="F145" s="5"/>
      <c r="G145" s="5"/>
      <c r="H145" s="5"/>
      <c r="I145" s="5"/>
      <c r="J145" s="5"/>
    </row>
  </sheetData>
  <mergeCells count="1">
    <mergeCell ref="B111:C111"/>
  </mergeCells>
  <phoneticPr fontId="18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B2CE-562F-40BD-9030-C4D1E53F3062}">
  <sheetPr>
    <tabColor rgb="FFFFC000"/>
  </sheetPr>
  <dimension ref="A1:J32"/>
  <sheetViews>
    <sheetView showGridLines="0" tabSelected="1" topLeftCell="A7" workbookViewId="0">
      <selection activeCell="K6" sqref="K6"/>
    </sheetView>
  </sheetViews>
  <sheetFormatPr defaultRowHeight="16.149999999999999"/>
  <cols>
    <col min="1" max="1" width="15.59765625" style="20" bestFit="1" customWidth="1"/>
    <col min="2" max="2" width="12.265625" style="20" customWidth="1"/>
    <col min="3" max="3" width="11.86328125" style="20" customWidth="1"/>
    <col min="4" max="4" width="11.59765625" style="20" customWidth="1"/>
    <col min="5" max="6" width="12.3984375" style="20" customWidth="1"/>
    <col min="7" max="7" width="12.46484375" style="20" customWidth="1"/>
    <col min="8" max="8" width="11.1328125" style="20" customWidth="1"/>
  </cols>
  <sheetData>
    <row r="1" spans="1:8">
      <c r="A1" s="20" t="s">
        <v>56</v>
      </c>
      <c r="B1" s="24">
        <f>A13</f>
        <v>44053</v>
      </c>
      <c r="C1" s="20" t="s">
        <v>157</v>
      </c>
      <c r="D1" s="24">
        <f>A19</f>
        <v>44059</v>
      </c>
    </row>
    <row r="2" spans="1:8" ht="16.149999999999999" customHeight="1">
      <c r="A2" s="57" t="s">
        <v>155</v>
      </c>
      <c r="B2" s="57"/>
      <c r="C2" s="57"/>
      <c r="D2" s="57"/>
      <c r="E2" s="57"/>
      <c r="F2" s="57"/>
      <c r="G2" s="57"/>
      <c r="H2" s="57"/>
    </row>
    <row r="3" spans="1:8" ht="16.149999999999999" customHeight="1">
      <c r="A3" s="57"/>
      <c r="B3" s="57"/>
      <c r="C3" s="57"/>
      <c r="D3" s="57"/>
      <c r="E3" s="57"/>
      <c r="F3" s="57"/>
      <c r="G3" s="57"/>
      <c r="H3" s="57"/>
    </row>
    <row r="4" spans="1:8" ht="16.899999999999999">
      <c r="A4" s="28" t="s">
        <v>57</v>
      </c>
      <c r="H4" s="24"/>
    </row>
    <row r="5" spans="1:8" ht="16.899999999999999">
      <c r="A5" s="29" t="s">
        <v>154</v>
      </c>
      <c r="C5" s="29" t="s">
        <v>164</v>
      </c>
      <c r="E5" s="29" t="s">
        <v>165</v>
      </c>
      <c r="G5" s="32" t="s">
        <v>59</v>
      </c>
      <c r="H5" s="33" t="s">
        <v>167</v>
      </c>
    </row>
    <row r="6" spans="1:8" ht="16.899999999999999">
      <c r="A6" s="29">
        <f>C32</f>
        <v>16036</v>
      </c>
      <c r="C6" s="30">
        <f>E32</f>
        <v>7.3584435021202294E-2</v>
      </c>
      <c r="E6" s="30">
        <f>G32</f>
        <v>0.21271186440677967</v>
      </c>
      <c r="G6" s="34" t="s">
        <v>60</v>
      </c>
      <c r="H6" s="35"/>
    </row>
    <row r="7" spans="1:8" ht="16.899999999999999">
      <c r="A7" s="28" t="s">
        <v>61</v>
      </c>
      <c r="G7" s="55">
        <f>IF($H$5="全部",SUMIFS(INDEX('拌客源数据1-8月'!$A:$X,0,MATCH(C12,'拌客源数据1-8月'!$A$1:$X$1,0)),INDEX('拌客源数据1-8月'!$A:$X,0,MATCH($A$12,'拌客源数据1-8月'!$A$1:$X$1,0)),"&gt;="&amp;DATE(YEAR($A$13),MONTH($A$13),1),INDEX('拌客源数据1-8月'!$A:$X,0,MATCH($A$12,'拌客源数据1-8月'!$A$1:$X$1,0)),"&lt;="&amp;$A19),SUMIFS(INDEX('拌客源数据1-8月'!$A:$X,0,MATCH(C12,'拌客源数据1-8月'!$A$1:$X$1,0)),INDEX('拌客源数据1-8月'!$A:$X,0,MATCH($A$12,'拌客源数据1-8月'!$A$1:$X$1,0)),"&gt;="&amp;DATE(YEAR($A$13),MONTH($A$13),1),INDEX('拌客源数据1-8月'!$A:$X,0,MATCH($A$12,'拌客源数据1-8月'!$A$1:$X$1,0)),"&lt;="&amp;$A$19,INDEX('拌客源数据1-8月'!$A:$X,0,MATCH("平台i",'拌客源数据1-8月'!$A$1:$X$1,0)),$H$5))/H8</f>
        <v>0.25984995000000005</v>
      </c>
      <c r="H7" s="56"/>
    </row>
    <row r="8" spans="1:8" ht="16.899999999999999">
      <c r="A8" s="29" t="s">
        <v>161</v>
      </c>
      <c r="C8" s="29" t="s">
        <v>159</v>
      </c>
      <c r="E8" s="29" t="s">
        <v>160</v>
      </c>
      <c r="G8" s="36" t="s">
        <v>62</v>
      </c>
      <c r="H8" s="37">
        <f>IF($H$5="全部",200000,IF($H$5="美团",150000,50000))</f>
        <v>200000</v>
      </c>
    </row>
    <row r="9" spans="1:8" ht="16.899999999999999">
      <c r="A9" s="29">
        <f>F20</f>
        <v>258</v>
      </c>
      <c r="B9" s="25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-0.33505154639175261</v>
      </c>
      <c r="C9" s="31">
        <f>D20</f>
        <v>5417.5099999999993</v>
      </c>
      <c r="D9" s="25">
        <f>IF($H$5="全部",SUMIFS(INDEX('拌客源数据1-8月'!$A:$X,0,MATCH(C8,'拌客源数据1-8月'!$A$1:$X$1,0)),INDEX('拌客源数据1-8月'!$A:$X,0,MATCH($A$12,'拌客源数据1-8月'!$A$1:$X$1,0)),"&gt;="&amp;$A13,INDEX('拌客源数据1-8月'!$A:$X,0,MATCH($A$12,'拌客源数据1-8月'!$A$1:$X$1,0)),"&lt;="&amp;$A19),SUMIFS(INDEX('拌客源数据1-8月'!$A:$X,0,MATCH(C$8,'拌客源数据1-8月'!$A$1:$X$1,0)),INDEX('拌客源数据1-8月'!$A:$X,0,MATCH($A$12,'拌客源数据1-8月'!$A$1:$X$1,0)),"&gt;="&amp;$A13,INDEX('拌客源数据1-8月'!$A:$X,0,MATCH($A$12,'拌客源数据1-8月'!$A$1:$X$1,0)),"&lt;="&amp;$A19,INDEX('拌客源数据1-8月'!$A:$X,0,MATCH("平台i",'拌客源数据1-8月'!$A$1:$X$1,0)),$H$5)) / IF($H$5="全部",SUMIFS(INDEX('拌客源数据1-8月'!$A:$X,0,MATCH(C8,'拌客源数据1-8月'!$A$1:$X$1,0)),INDEX('拌客源数据1-8月'!$A:$X,0,MATCH($A$12,'拌客源数据1-8月'!$A$1:$X$1,0)),"&gt;="&amp;($A13-7),INDEX('拌客源数据1-8月'!$A:$X,0,MATCH($A$12,'拌客源数据1-8月'!$A$1:$X$1,0)),"&lt;="&amp;($A19-7)),SUMIFS(INDEX('拌客源数据1-8月'!$A:$X,0,MATCH(C$8,'拌客源数据1-8月'!$A$1:$X$1,0)),INDEX('拌客源数据1-8月'!$A:$X,0,MATCH($A$12,'拌客源数据1-8月'!$A$1:$X$1,0)),"&gt;="&amp;($A13-7),INDEX('拌客源数据1-8月'!$A:$X,0,MATCH($A$12,'拌客源数据1-8月'!$A$1:$X$1,0)),"&lt;="&amp;($A19-7),INDEX('拌客源数据1-8月'!$A:$X,0,MATCH("平台i",'拌客源数据1-8月'!$A$1:$X$1,0)),$H$5))-1</f>
        <v>-0.24846467894553603</v>
      </c>
      <c r="E9" s="30">
        <f>E20</f>
        <v>0.36122657449154993</v>
      </c>
      <c r="F9" s="25">
        <f>E9/(IF($H$5="全部",SUMIFS(INDEX('拌客源数据1-8月'!$A:$X,0,MATCH(C8,'拌客源数据1-8月'!$A$1:$X$1,0)),INDEX('拌客源数据1-8月'!$A:$X,0,MATCH($A$12,'拌客源数据1-8月'!$A$1:$X$1,0)),"&gt;="&amp;($A13-7),INDEX('拌客源数据1-8月'!$A:$X,0,MATCH($A$12,'拌客源数据1-8月'!$A$1:$X$1,0)),"&lt;="&amp;($A19-7)),SUMIFS(INDEX('拌客源数据1-8月'!$A:$X,0,MATCH(C$8,'拌客源数据1-8月'!$A$1:$X$1,0)),INDEX('拌客源数据1-8月'!$A:$X,0,MATCH($A$12,'拌客源数据1-8月'!$A$1:$X$1,0)),"&gt;="&amp;($A13-7),INDEX('拌客源数据1-8月'!$A:$X,0,MATCH($A$12,'拌客源数据1-8月'!$A$1:$X$1,0)),"&lt;="&amp;($A19-7),INDEX('拌客源数据1-8月'!$A:$X,0,MATCH("平台i",'拌客源数据1-8月'!$A$1:$X$1,0)),$H$5))/IF($H$5="全部",SUMIFS(INDEX('拌客源数据1-8月'!$A:$X,0,MATCH(C12,'拌客源数据1-8月'!$A$1:$X$1,0)),INDEX('拌客源数据1-8月'!$A:$X,0,MATCH($A$12,'拌客源数据1-8月'!$A$1:$X$1,0)),"&gt;="&amp;($A13-7),INDEX('拌客源数据1-8月'!$A:$X,0,MATCH($A$12,'拌客源数据1-8月'!$A$1:$X$1,0)),"&lt;="&amp;($A19-7)),SUMIFS(INDEX('拌客源数据1-8月'!$A:$X,0,MATCH(C12,'拌客源数据1-8月'!$A$1:$X$1,0)),INDEX('拌客源数据1-8月'!$A:$X,0,MATCH($A$12,'拌客源数据1-8月'!$A$1:$X$1,0)),"&gt;="&amp;($A13-7),INDEX('拌客源数据1-8月'!$A:$X,0,MATCH($A$12,'拌客源数据1-8月'!$A$1:$X$1,0)),"&lt;="&amp;($A19-7),INDEX('拌客源数据1-8月'!$A:$X,0,MATCH("平台i",'拌客源数据1-8月'!$A$1:$X$1,0)),$H$5))) -1</f>
        <v>6.4597617325405032E-2</v>
      </c>
      <c r="G9" s="26"/>
    </row>
    <row r="11" spans="1:8" ht="16.899999999999999">
      <c r="A11" s="38" t="s">
        <v>63</v>
      </c>
      <c r="B11" s="39"/>
      <c r="C11" s="39" t="s">
        <v>64</v>
      </c>
      <c r="D11" s="39"/>
      <c r="E11" s="39"/>
      <c r="F11" s="39"/>
      <c r="G11" s="39"/>
      <c r="H11" s="33"/>
    </row>
    <row r="12" spans="1:8">
      <c r="A12" s="40" t="s">
        <v>65</v>
      </c>
      <c r="B12" s="41" t="s">
        <v>156</v>
      </c>
      <c r="C12" s="41" t="s">
        <v>158</v>
      </c>
      <c r="D12" s="41" t="s">
        <v>159</v>
      </c>
      <c r="E12" s="41" t="s">
        <v>160</v>
      </c>
      <c r="F12" s="41" t="s">
        <v>161</v>
      </c>
      <c r="G12" s="41" t="s">
        <v>162</v>
      </c>
      <c r="H12" s="42" t="s">
        <v>163</v>
      </c>
    </row>
    <row r="13" spans="1:8">
      <c r="A13" s="43">
        <v>44053</v>
      </c>
      <c r="B13" s="20" t="str">
        <f>TEXT(A13,"dddd")</f>
        <v>Monday</v>
      </c>
      <c r="C13" s="44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2233.92</v>
      </c>
      <c r="D13" s="44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768.67000000000007</v>
      </c>
      <c r="E13" s="45">
        <f>D13/C13</f>
        <v>0.34409020913909183</v>
      </c>
      <c r="F13" s="20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40</v>
      </c>
      <c r="G13" s="20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0</v>
      </c>
      <c r="H13" s="46">
        <f>C13/F13</f>
        <v>55.847999999999999</v>
      </c>
    </row>
    <row r="14" spans="1:8">
      <c r="A14" s="43">
        <f>A13+1</f>
        <v>44054</v>
      </c>
      <c r="B14" s="20" t="str">
        <f t="shared" ref="B14:B19" si="0">TEXT(A14,"dddd")</f>
        <v>Tuesday</v>
      </c>
      <c r="C14" s="44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2360.1800000000003</v>
      </c>
      <c r="D14" s="44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923.19</v>
      </c>
      <c r="E14" s="45">
        <f t="shared" ref="E14:E20" si="1">D14/C14</f>
        <v>0.39115236973451173</v>
      </c>
      <c r="F14" s="20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39</v>
      </c>
      <c r="G14" s="20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1</v>
      </c>
      <c r="H14" s="46">
        <f t="shared" ref="H14:H20" si="2">C14/F14</f>
        <v>60.517435897435902</v>
      </c>
    </row>
    <row r="15" spans="1:8">
      <c r="A15" s="43">
        <f t="shared" ref="A15:A19" si="3">A14+1</f>
        <v>44055</v>
      </c>
      <c r="B15" s="20" t="str">
        <f t="shared" si="0"/>
        <v>Wednesday</v>
      </c>
      <c r="C15" s="44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1787.54</v>
      </c>
      <c r="D15" s="44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661.01</v>
      </c>
      <c r="E15" s="45">
        <f t="shared" si="1"/>
        <v>0.36978752923011515</v>
      </c>
      <c r="F15" s="20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31</v>
      </c>
      <c r="G15" s="20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1</v>
      </c>
      <c r="H15" s="46">
        <f t="shared" si="2"/>
        <v>57.662580645161292</v>
      </c>
    </row>
    <row r="16" spans="1:8">
      <c r="A16" s="43">
        <f t="shared" si="3"/>
        <v>44056</v>
      </c>
      <c r="B16" s="20" t="str">
        <f t="shared" si="0"/>
        <v>Thursday</v>
      </c>
      <c r="C16" s="44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1814.93</v>
      </c>
      <c r="D16" s="44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634.1</v>
      </c>
      <c r="E16" s="45">
        <f t="shared" si="1"/>
        <v>0.34937986589014453</v>
      </c>
      <c r="F16" s="20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33</v>
      </c>
      <c r="G16" s="20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1</v>
      </c>
      <c r="H16" s="46">
        <f t="shared" si="2"/>
        <v>54.99787878787879</v>
      </c>
    </row>
    <row r="17" spans="1:10">
      <c r="A17" s="43">
        <f t="shared" si="3"/>
        <v>44057</v>
      </c>
      <c r="B17" s="20" t="str">
        <f t="shared" si="0"/>
        <v>Friday</v>
      </c>
      <c r="C17" s="44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2222.31</v>
      </c>
      <c r="D17" s="44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799.33</v>
      </c>
      <c r="E17" s="45">
        <f t="shared" si="1"/>
        <v>0.35968429247044742</v>
      </c>
      <c r="F17" s="20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37</v>
      </c>
      <c r="G17" s="20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1</v>
      </c>
      <c r="H17" s="46">
        <f t="shared" si="2"/>
        <v>60.062432432432431</v>
      </c>
    </row>
    <row r="18" spans="1:10">
      <c r="A18" s="43">
        <f t="shared" si="3"/>
        <v>44058</v>
      </c>
      <c r="B18" s="20" t="str">
        <f t="shared" si="0"/>
        <v>Saturday</v>
      </c>
      <c r="C18" s="44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2528.64</v>
      </c>
      <c r="D18" s="44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876.06</v>
      </c>
      <c r="E18" s="45">
        <f t="shared" si="1"/>
        <v>0.34645501138952162</v>
      </c>
      <c r="F18" s="20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43</v>
      </c>
      <c r="G18" s="20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46">
        <f t="shared" si="2"/>
        <v>58.805581395348831</v>
      </c>
    </row>
    <row r="19" spans="1:10">
      <c r="A19" s="43">
        <f t="shared" si="3"/>
        <v>44059</v>
      </c>
      <c r="B19" s="20" t="str">
        <f t="shared" si="0"/>
        <v>Sunday</v>
      </c>
      <c r="C19" s="44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2050.02</v>
      </c>
      <c r="D19" s="44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755.15</v>
      </c>
      <c r="E19" s="45">
        <f t="shared" si="1"/>
        <v>0.3683622598803914</v>
      </c>
      <c r="F19" s="20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35</v>
      </c>
      <c r="G19" s="20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1</v>
      </c>
      <c r="H19" s="46">
        <f t="shared" si="2"/>
        <v>58.572000000000003</v>
      </c>
    </row>
    <row r="20" spans="1:10">
      <c r="A20" s="36" t="s">
        <v>67</v>
      </c>
      <c r="B20" s="47"/>
      <c r="C20" s="48">
        <f>SUM(C13:C19)</f>
        <v>14997.539999999999</v>
      </c>
      <c r="D20" s="48">
        <f t="shared" ref="D20:G20" si="4">SUM(D13:D19)</f>
        <v>5417.5099999999993</v>
      </c>
      <c r="E20" s="49">
        <f t="shared" si="1"/>
        <v>0.36122657449154993</v>
      </c>
      <c r="F20" s="47">
        <f t="shared" si="4"/>
        <v>258</v>
      </c>
      <c r="G20" s="47">
        <f t="shared" si="4"/>
        <v>5</v>
      </c>
      <c r="H20" s="50">
        <f t="shared" si="2"/>
        <v>58.129999999999995</v>
      </c>
      <c r="J20" s="27"/>
    </row>
    <row r="23" spans="1:10" ht="16.899999999999999">
      <c r="A23" s="38" t="s">
        <v>68</v>
      </c>
      <c r="B23" s="39"/>
      <c r="C23" s="39" t="s">
        <v>64</v>
      </c>
      <c r="D23" s="39"/>
      <c r="E23" s="39"/>
      <c r="F23" s="39"/>
      <c r="G23" s="39"/>
      <c r="H23" s="33"/>
    </row>
    <row r="24" spans="1:10">
      <c r="A24" s="40" t="s">
        <v>65</v>
      </c>
      <c r="B24" s="41" t="s">
        <v>66</v>
      </c>
      <c r="C24" s="41" t="s">
        <v>154</v>
      </c>
      <c r="D24" s="41" t="s">
        <v>9</v>
      </c>
      <c r="E24" s="41" t="s">
        <v>164</v>
      </c>
      <c r="F24" s="41" t="s">
        <v>6</v>
      </c>
      <c r="G24" s="41" t="s">
        <v>165</v>
      </c>
      <c r="H24" s="42" t="s">
        <v>166</v>
      </c>
    </row>
    <row r="25" spans="1:10">
      <c r="A25" s="43">
        <f>A13</f>
        <v>44053</v>
      </c>
      <c r="B25" s="20" t="str">
        <f>B13</f>
        <v>Monday</v>
      </c>
      <c r="C25" s="20">
        <f>IF($H$5="全部",SUMIF(INDEX('拌客源数据1-8月'!$A:$X,0,MATCH($A$24,'拌客源数据1-8月'!$A$1:$X$1,0)),$A25,INDEX('拌客源数据1-8月'!$A:$X,0,MATCH(C$24,'拌客源数据1-8月'!$A$1:$X$1,0))),SUMIFS(INDEX('拌客源数据1-8月'!$A:$X,0,MATCH(C$24,'拌客源数据1-8月'!$A$1:$X$1,0)),INDEX('拌客源数据1-8月'!$A:$X,0,MATCH($A$24,'拌客源数据1-8月'!$A$1:$X$1,0)),$A25,INDEX('拌客源数据1-8月'!$A:$X,0,MATCH("平台i",'拌客源数据1-8月'!$A$1:$X$1,0)),$H$5))</f>
        <v>2375</v>
      </c>
      <c r="D25" s="20">
        <f>IF($H$5="全部",SUMIF(INDEX('拌客源数据1-8月'!$A:$X,0,MATCH($A$24,'拌客源数据1-8月'!$A$1:$X$1,0)),$A25,INDEX('拌客源数据1-8月'!$A:$X,0,MATCH(D$24,'拌客源数据1-8月'!$A$1:$X$1,0))),SUMIFS(INDEX('拌客源数据1-8月'!$A:$X,0,MATCH(D$24,'拌客源数据1-8月'!$A$1:$X$1,0)),INDEX('拌客源数据1-8月'!$A:$X,0,MATCH($A$24,'拌客源数据1-8月'!$A$1:$X$1,0)),$A25,INDEX('拌客源数据1-8月'!$A:$X,0,MATCH("平台i",'拌客源数据1-8月'!$A$1:$X$1,0)),$H$5))</f>
        <v>175</v>
      </c>
      <c r="E25" s="45">
        <f>D25/C25</f>
        <v>7.3684210526315783E-2</v>
      </c>
      <c r="F25" s="20">
        <f>IF($H$5="全部",SUMIF(INDEX('拌客源数据1-8月'!$A:$X,0,MATCH($A$24,'拌客源数据1-8月'!$A$1:$X$1,0)),$A25,INDEX('拌客源数据1-8月'!$A:$X,0,MATCH(F$24,'拌客源数据1-8月'!$A$1:$X$1,0))),SUMIFS(INDEX('拌客源数据1-8月'!$A:$X,0,MATCH(F$24,'拌客源数据1-8月'!$A$1:$X$1,0)),INDEX('拌客源数据1-8月'!$A:$X,0,MATCH($A$24,'拌客源数据1-8月'!$A$1:$X$1,0)),$A25,INDEX('拌客源数据1-8月'!$A:$X,0,MATCH("平台i",'拌客源数据1-8月'!$A$1:$X$1,0)),$H$5))</f>
        <v>36</v>
      </c>
      <c r="G25" s="45">
        <f>F25/D25</f>
        <v>0.20571428571428571</v>
      </c>
      <c r="H25" s="51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$C13</f>
        <v>4.3918313995129639E-2</v>
      </c>
    </row>
    <row r="26" spans="1:10">
      <c r="A26" s="43">
        <f t="shared" ref="A26:B31" si="5">A14</f>
        <v>44054</v>
      </c>
      <c r="B26" s="20" t="str">
        <f t="shared" si="5"/>
        <v>Tuesday</v>
      </c>
      <c r="C26" s="20">
        <f>IF($H$5="全部",SUMIF(INDEX('拌客源数据1-8月'!$A:$X,0,MATCH($A$24,'拌客源数据1-8月'!$A$1:$X$1,0)),$A26,INDEX('拌客源数据1-8月'!$A:$X,0,MATCH(C$24,'拌客源数据1-8月'!$A$1:$X$1,0))),SUMIFS(INDEX('拌客源数据1-8月'!$A:$X,0,MATCH(C$24,'拌客源数据1-8月'!$A$1:$X$1,0)),INDEX('拌客源数据1-8月'!$A:$X,0,MATCH($A$24,'拌客源数据1-8月'!$A$1:$X$1,0)),$A26,INDEX('拌客源数据1-8月'!$A:$X,0,MATCH("平台i",'拌客源数据1-8月'!$A$1:$X$1,0)),$H$5))</f>
        <v>1989</v>
      </c>
      <c r="D26" s="20">
        <f>IF($H$5="全部",SUMIF(INDEX('拌客源数据1-8月'!$A:$X,0,MATCH($A$24,'拌客源数据1-8月'!$A$1:$X$1,0)),$A26,INDEX('拌客源数据1-8月'!$A:$X,0,MATCH(D$24,'拌客源数据1-8月'!$A$1:$X$1,0))),SUMIFS(INDEX('拌客源数据1-8月'!$A:$X,0,MATCH(D$24,'拌客源数据1-8月'!$A$1:$X$1,0)),INDEX('拌客源数据1-8月'!$A:$X,0,MATCH($A$24,'拌客源数据1-8月'!$A$1:$X$1,0)),$A26,INDEX('拌客源数据1-8月'!$A:$X,0,MATCH("平台i",'拌客源数据1-8月'!$A$1:$X$1,0)),$H$5))</f>
        <v>155</v>
      </c>
      <c r="E26" s="45">
        <f t="shared" ref="E26:E32" si="6">D26/C26</f>
        <v>7.7928607340372047E-2</v>
      </c>
      <c r="F26" s="20">
        <f>IF($H$5="全部",SUMIF(INDEX('拌客源数据1-8月'!$A:$X,0,MATCH($A$24,'拌客源数据1-8月'!$A$1:$X$1,0)),$A26,INDEX('拌客源数据1-8月'!$A:$X,0,MATCH(F$24,'拌客源数据1-8月'!$A$1:$X$1,0))),SUMIFS(INDEX('拌客源数据1-8月'!$A:$X,0,MATCH(F$24,'拌客源数据1-8月'!$A$1:$X$1,0)),INDEX('拌客源数据1-8月'!$A:$X,0,MATCH($A$24,'拌客源数据1-8月'!$A$1:$X$1,0)),$A26,INDEX('拌客源数据1-8月'!$A:$X,0,MATCH("平台i",'拌客源数据1-8月'!$A$1:$X$1,0)),$H$5))</f>
        <v>37</v>
      </c>
      <c r="G26" s="45">
        <f t="shared" ref="G26:G32" si="7">F26/D26</f>
        <v>0.23870967741935484</v>
      </c>
      <c r="H26" s="51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$C14</f>
        <v>5.0559703073494389E-2</v>
      </c>
    </row>
    <row r="27" spans="1:10">
      <c r="A27" s="43">
        <f t="shared" si="5"/>
        <v>44055</v>
      </c>
      <c r="B27" s="20" t="str">
        <f t="shared" si="5"/>
        <v>Wednesday</v>
      </c>
      <c r="C27" s="20">
        <f>IF($H$5="全部",SUMIF(INDEX('拌客源数据1-8月'!$A:$X,0,MATCH($A$24,'拌客源数据1-8月'!$A$1:$X$1,0)),$A27,INDEX('拌客源数据1-8月'!$A:$X,0,MATCH(C$24,'拌客源数据1-8月'!$A$1:$X$1,0))),SUMIFS(INDEX('拌客源数据1-8月'!$A:$X,0,MATCH(C$24,'拌客源数据1-8月'!$A$1:$X$1,0)),INDEX('拌客源数据1-8月'!$A:$X,0,MATCH($A$24,'拌客源数据1-8月'!$A$1:$X$1,0)),$A27,INDEX('拌客源数据1-8月'!$A:$X,0,MATCH("平台i",'拌客源数据1-8月'!$A$1:$X$1,0)),$H$5))</f>
        <v>1913</v>
      </c>
      <c r="D27" s="20">
        <f>IF($H$5="全部",SUMIF(INDEX('拌客源数据1-8月'!$A:$X,0,MATCH($A$24,'拌客源数据1-8月'!$A$1:$X$1,0)),$A27,INDEX('拌客源数据1-8月'!$A:$X,0,MATCH(D$24,'拌客源数据1-8月'!$A$1:$X$1,0))),SUMIFS(INDEX('拌客源数据1-8月'!$A:$X,0,MATCH(D$24,'拌客源数据1-8月'!$A$1:$X$1,0)),INDEX('拌客源数据1-8月'!$A:$X,0,MATCH($A$24,'拌客源数据1-8月'!$A$1:$X$1,0)),$A27,INDEX('拌客源数据1-8月'!$A:$X,0,MATCH("平台i",'拌客源数据1-8月'!$A$1:$X$1,0)),$H$5))</f>
        <v>149</v>
      </c>
      <c r="E27" s="45">
        <f t="shared" si="6"/>
        <v>7.7888133821223213E-2</v>
      </c>
      <c r="F27" s="20">
        <f>IF($H$5="全部",SUMIF(INDEX('拌客源数据1-8月'!$A:$X,0,MATCH($A$24,'拌客源数据1-8月'!$A$1:$X$1,0)),$A27,INDEX('拌客源数据1-8月'!$A:$X,0,MATCH(F$24,'拌客源数据1-8月'!$A$1:$X$1,0))),SUMIFS(INDEX('拌客源数据1-8月'!$A:$X,0,MATCH(F$24,'拌客源数据1-8月'!$A$1:$X$1,0)),INDEX('拌客源数据1-8月'!$A:$X,0,MATCH($A$24,'拌客源数据1-8月'!$A$1:$X$1,0)),$A27,INDEX('拌客源数据1-8月'!$A:$X,0,MATCH("平台i",'拌客源数据1-8月'!$A$1:$X$1,0)),$H$5))</f>
        <v>31</v>
      </c>
      <c r="G27" s="45">
        <f t="shared" si="7"/>
        <v>0.20805369127516779</v>
      </c>
      <c r="H27" s="51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$C15</f>
        <v>6.1906306991731656E-2</v>
      </c>
    </row>
    <row r="28" spans="1:10">
      <c r="A28" s="43">
        <f t="shared" si="5"/>
        <v>44056</v>
      </c>
      <c r="B28" s="20" t="str">
        <f t="shared" si="5"/>
        <v>Thursday</v>
      </c>
      <c r="C28" s="20">
        <f>IF($H$5="全部",SUMIF(INDEX('拌客源数据1-8月'!$A:$X,0,MATCH($A$24,'拌客源数据1-8月'!$A$1:$X$1,0)),$A28,INDEX('拌客源数据1-8月'!$A:$X,0,MATCH(C$24,'拌客源数据1-8月'!$A$1:$X$1,0))),SUMIFS(INDEX('拌客源数据1-8月'!$A:$X,0,MATCH(C$24,'拌客源数据1-8月'!$A$1:$X$1,0)),INDEX('拌客源数据1-8月'!$A:$X,0,MATCH($A$24,'拌客源数据1-8月'!$A$1:$X$1,0)),$A28,INDEX('拌客源数据1-8月'!$A:$X,0,MATCH("平台i",'拌客源数据1-8月'!$A$1:$X$1,0)),$H$5))</f>
        <v>2044</v>
      </c>
      <c r="D28" s="20">
        <f>IF($H$5="全部",SUMIF(INDEX('拌客源数据1-8月'!$A:$X,0,MATCH($A$24,'拌客源数据1-8月'!$A$1:$X$1,0)),$A28,INDEX('拌客源数据1-8月'!$A:$X,0,MATCH(D$24,'拌客源数据1-8月'!$A$1:$X$1,0))),SUMIFS(INDEX('拌客源数据1-8月'!$A:$X,0,MATCH(D$24,'拌客源数据1-8月'!$A$1:$X$1,0)),INDEX('拌客源数据1-8月'!$A:$X,0,MATCH($A$24,'拌客源数据1-8月'!$A$1:$X$1,0)),$A28,INDEX('拌客源数据1-8月'!$A:$X,0,MATCH("平台i",'拌客源数据1-8月'!$A$1:$X$1,0)),$H$5))</f>
        <v>143</v>
      </c>
      <c r="E28" s="45">
        <f t="shared" si="6"/>
        <v>6.9960861056751464E-2</v>
      </c>
      <c r="F28" s="20">
        <f>IF($H$5="全部",SUMIF(INDEX('拌客源数据1-8月'!$A:$X,0,MATCH($A$24,'拌客源数据1-8月'!$A$1:$X$1,0)),$A28,INDEX('拌客源数据1-8月'!$A:$X,0,MATCH(F$24,'拌客源数据1-8月'!$A$1:$X$1,0))),SUMIFS(INDEX('拌客源数据1-8月'!$A:$X,0,MATCH(F$24,'拌客源数据1-8月'!$A$1:$X$1,0)),INDEX('拌客源数据1-8月'!$A:$X,0,MATCH($A$24,'拌客源数据1-8月'!$A$1:$X$1,0)),$A28,INDEX('拌客源数据1-8月'!$A:$X,0,MATCH("平台i",'拌客源数据1-8月'!$A$1:$X$1,0)),$H$5))</f>
        <v>34</v>
      </c>
      <c r="G28" s="45">
        <f t="shared" si="7"/>
        <v>0.23776223776223776</v>
      </c>
      <c r="H28" s="51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$C16</f>
        <v>5.5462194134209032E-2</v>
      </c>
    </row>
    <row r="29" spans="1:10">
      <c r="A29" s="43">
        <f t="shared" si="5"/>
        <v>44057</v>
      </c>
      <c r="B29" s="20" t="str">
        <f t="shared" si="5"/>
        <v>Friday</v>
      </c>
      <c r="C29" s="20">
        <f>IF($H$5="全部",SUMIF(INDEX('拌客源数据1-8月'!$A:$X,0,MATCH($A$24,'拌客源数据1-8月'!$A$1:$X$1,0)),$A29,INDEX('拌客源数据1-8月'!$A:$X,0,MATCH(C$24,'拌客源数据1-8月'!$A$1:$X$1,0))),SUMIFS(INDEX('拌客源数据1-8月'!$A:$X,0,MATCH(C$24,'拌客源数据1-8月'!$A$1:$X$1,0)),INDEX('拌客源数据1-8月'!$A:$X,0,MATCH($A$24,'拌客源数据1-8月'!$A$1:$X$1,0)),$A29,INDEX('拌客源数据1-8月'!$A:$X,0,MATCH("平台i",'拌客源数据1-8月'!$A$1:$X$1,0)),$H$5))</f>
        <v>2301</v>
      </c>
      <c r="D29" s="20">
        <f>IF($H$5="全部",SUMIF(INDEX('拌客源数据1-8月'!$A:$X,0,MATCH($A$24,'拌客源数据1-8月'!$A$1:$X$1,0)),$A29,INDEX('拌客源数据1-8月'!$A:$X,0,MATCH(D$24,'拌客源数据1-8月'!$A$1:$X$1,0))),SUMIFS(INDEX('拌客源数据1-8月'!$A:$X,0,MATCH(D$24,'拌客源数据1-8月'!$A$1:$X$1,0)),INDEX('拌客源数据1-8月'!$A:$X,0,MATCH($A$24,'拌客源数据1-8月'!$A$1:$X$1,0)),$A29,INDEX('拌客源数据1-8月'!$A:$X,0,MATCH("平台i",'拌客源数据1-8月'!$A$1:$X$1,0)),$H$5))</f>
        <v>168</v>
      </c>
      <c r="E29" s="45">
        <f t="shared" si="6"/>
        <v>7.3011734028683176E-2</v>
      </c>
      <c r="F29" s="20">
        <f>IF($H$5="全部",SUMIF(INDEX('拌客源数据1-8月'!$A:$X,0,MATCH($A$24,'拌客源数据1-8月'!$A$1:$X$1,0)),$A29,INDEX('拌客源数据1-8月'!$A:$X,0,MATCH(F$24,'拌客源数据1-8月'!$A$1:$X$1,0))),SUMIFS(INDEX('拌客源数据1-8月'!$A:$X,0,MATCH(F$24,'拌客源数据1-8月'!$A$1:$X$1,0)),INDEX('拌客源数据1-8月'!$A:$X,0,MATCH($A$24,'拌客源数据1-8月'!$A$1:$X$1,0)),$A29,INDEX('拌客源数据1-8月'!$A:$X,0,MATCH("平台i",'拌客源数据1-8月'!$A$1:$X$1,0)),$H$5))</f>
        <v>37</v>
      </c>
      <c r="G29" s="45">
        <f t="shared" si="7"/>
        <v>0.22023809523809523</v>
      </c>
      <c r="H29" s="51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$C17</f>
        <v>5.1369970886149995E-2</v>
      </c>
    </row>
    <row r="30" spans="1:10">
      <c r="A30" s="43">
        <f t="shared" si="5"/>
        <v>44058</v>
      </c>
      <c r="B30" s="20" t="str">
        <f t="shared" si="5"/>
        <v>Saturday</v>
      </c>
      <c r="C30" s="20">
        <f>IF($H$5="全部",SUMIF(INDEX('拌客源数据1-8月'!$A:$X,0,MATCH($A$24,'拌客源数据1-8月'!$A$1:$X$1,0)),$A30,INDEX('拌客源数据1-8月'!$A:$X,0,MATCH(C$24,'拌客源数据1-8月'!$A$1:$X$1,0))),SUMIFS(INDEX('拌客源数据1-8月'!$A:$X,0,MATCH(C$24,'拌客源数据1-8月'!$A$1:$X$1,0)),INDEX('拌客源数据1-8月'!$A:$X,0,MATCH($A$24,'拌客源数据1-8月'!$A$1:$X$1,0)),$A30,INDEX('拌客源数据1-8月'!$A:$X,0,MATCH("平台i",'拌客源数据1-8月'!$A$1:$X$1,0)),$H$5))</f>
        <v>2725</v>
      </c>
      <c r="D30" s="20">
        <f>IF($H$5="全部",SUMIF(INDEX('拌客源数据1-8月'!$A:$X,0,MATCH($A$24,'拌客源数据1-8月'!$A$1:$X$1,0)),$A30,INDEX('拌客源数据1-8月'!$A:$X,0,MATCH(D$24,'拌客源数据1-8月'!$A$1:$X$1,0))),SUMIFS(INDEX('拌客源数据1-8月'!$A:$X,0,MATCH(D$24,'拌客源数据1-8月'!$A$1:$X$1,0)),INDEX('拌客源数据1-8月'!$A:$X,0,MATCH($A$24,'拌客源数据1-8月'!$A$1:$X$1,0)),$A30,INDEX('拌客源数据1-8月'!$A:$X,0,MATCH("平台i",'拌客源数据1-8月'!$A$1:$X$1,0)),$H$5))</f>
        <v>201</v>
      </c>
      <c r="E30" s="45">
        <f t="shared" si="6"/>
        <v>7.3761467889908255E-2</v>
      </c>
      <c r="F30" s="20">
        <f>IF($H$5="全部",SUMIF(INDEX('拌客源数据1-8月'!$A:$X,0,MATCH($A$24,'拌客源数据1-8月'!$A$1:$X$1,0)),$A30,INDEX('拌客源数据1-8月'!$A:$X,0,MATCH(F$24,'拌客源数据1-8月'!$A$1:$X$1,0))),SUMIFS(INDEX('拌客源数据1-8月'!$A:$X,0,MATCH(F$24,'拌客源数据1-8月'!$A$1:$X$1,0)),INDEX('拌客源数据1-8月'!$A:$X,0,MATCH($A$24,'拌客源数据1-8月'!$A$1:$X$1,0)),$A30,INDEX('拌客源数据1-8月'!$A:$X,0,MATCH("平台i",'拌客源数据1-8月'!$A$1:$X$1,0)),$H$5))</f>
        <v>43</v>
      </c>
      <c r="G30" s="45">
        <f t="shared" si="7"/>
        <v>0.21393034825870647</v>
      </c>
      <c r="H30" s="51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$C18</f>
        <v>4.346209820298659E-2</v>
      </c>
    </row>
    <row r="31" spans="1:10">
      <c r="A31" s="43">
        <f t="shared" si="5"/>
        <v>44059</v>
      </c>
      <c r="B31" s="20" t="str">
        <f t="shared" si="5"/>
        <v>Sunday</v>
      </c>
      <c r="C31" s="20">
        <f>IF($H$5="全部",SUMIF(INDEX('拌客源数据1-8月'!$A:$X,0,MATCH($A$24,'拌客源数据1-8月'!$A$1:$X$1,0)),$A31,INDEX('拌客源数据1-8月'!$A:$X,0,MATCH(C$24,'拌客源数据1-8月'!$A$1:$X$1,0))),SUMIFS(INDEX('拌客源数据1-8月'!$A:$X,0,MATCH(C$24,'拌客源数据1-8月'!$A$1:$X$1,0)),INDEX('拌客源数据1-8月'!$A:$X,0,MATCH($A$24,'拌客源数据1-8月'!$A$1:$X$1,0)),$A31,INDEX('拌客源数据1-8月'!$A:$X,0,MATCH("平台i",'拌客源数据1-8月'!$A$1:$X$1,0)),$H$5))</f>
        <v>2689</v>
      </c>
      <c r="D31" s="20">
        <f>IF($H$5="全部",SUMIF(INDEX('拌客源数据1-8月'!$A:$X,0,MATCH($A$24,'拌客源数据1-8月'!$A$1:$X$1,0)),$A31,INDEX('拌客源数据1-8月'!$A:$X,0,MATCH(D$24,'拌客源数据1-8月'!$A$1:$X$1,0))),SUMIFS(INDEX('拌客源数据1-8月'!$A:$X,0,MATCH(D$24,'拌客源数据1-8月'!$A$1:$X$1,0)),INDEX('拌客源数据1-8月'!$A:$X,0,MATCH($A$24,'拌客源数据1-8月'!$A$1:$X$1,0)),$A31,INDEX('拌客源数据1-8月'!$A:$X,0,MATCH("平台i",'拌客源数据1-8月'!$A$1:$X$1,0)),$H$5))</f>
        <v>189</v>
      </c>
      <c r="E31" s="45">
        <f t="shared" si="6"/>
        <v>7.0286351803644481E-2</v>
      </c>
      <c r="F31" s="20">
        <f>IF($H$5="全部",SUMIF(INDEX('拌客源数据1-8月'!$A:$X,0,MATCH($A$24,'拌客源数据1-8月'!$A$1:$X$1,0)),$A31,INDEX('拌客源数据1-8月'!$A:$X,0,MATCH(F$24,'拌客源数据1-8月'!$A$1:$X$1,0))),SUMIFS(INDEX('拌客源数据1-8月'!$A:$X,0,MATCH(F$24,'拌客源数据1-8月'!$A$1:$X$1,0)),INDEX('拌客源数据1-8月'!$A:$X,0,MATCH($A$24,'拌客源数据1-8月'!$A$1:$X$1,0)),$A31,INDEX('拌客源数据1-8月'!$A:$X,0,MATCH("平台i",'拌客源数据1-8月'!$A$1:$X$1,0)),$H$5))</f>
        <v>33</v>
      </c>
      <c r="G31" s="45">
        <f t="shared" si="7"/>
        <v>0.17460317460317459</v>
      </c>
      <c r="H31" s="51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$C19</f>
        <v>5.5960429654344834E-2</v>
      </c>
    </row>
    <row r="32" spans="1:10">
      <c r="A32" s="36" t="s">
        <v>67</v>
      </c>
      <c r="B32" s="47"/>
      <c r="C32" s="47">
        <f>SUM(C25:C31)</f>
        <v>16036</v>
      </c>
      <c r="D32" s="47">
        <f t="shared" ref="D32:F32" si="8">SUM(D25:D31)</f>
        <v>1180</v>
      </c>
      <c r="E32" s="49">
        <f t="shared" si="6"/>
        <v>7.3584435021202294E-2</v>
      </c>
      <c r="F32" s="47">
        <f t="shared" si="8"/>
        <v>251</v>
      </c>
      <c r="G32" s="49">
        <f t="shared" si="7"/>
        <v>0.21271186440677967</v>
      </c>
      <c r="H32" s="52">
        <f>IF($H$5="全部",SUMIFS(INDEX('拌客源数据1-8月'!$A:$X,0,MATCH("cpc总费用",'拌客源数据1-8月'!$A$1:$X$1,0)),INDEX('拌客源数据1-8月'!$A:$X,0,MATCH($A$12,'拌客源数据1-8月'!$A$1:$X$1,0)),"&gt;="&amp;$A13,INDEX('拌客源数据1-8月'!$A:$X,0,MATCH($A$12,'拌客源数据1-8月'!$A$1:$X$1,0)),"&lt;="&amp;$A19),SUMIFS(INDEX('拌客源数据1-8月'!$A:$X,0,MATCH("cpc总费用",'拌客源数据1-8月'!$A$1:$X$1,0)),INDEX('拌客源数据1-8月'!$A:$X,0,MATCH($A$12,'拌客源数据1-8月'!$A$1:$X$1,0)),"&gt;="&amp;$A13,INDEX('拌客源数据1-8月'!$A:$X,0,MATCH($A$12,'拌客源数据1-8月'!$A$1:$X$1,0)),"&lt;="&amp;$A19,INDEX('拌客源数据1-8月'!$A:$X,0,MATCH("平台i",'拌客源数据1-8月'!$A$1:$X$1,0)),$H$5))/$C$20</f>
        <v>5.1177726480476138E-2</v>
      </c>
    </row>
  </sheetData>
  <mergeCells count="2">
    <mergeCell ref="G7:H7"/>
    <mergeCell ref="A2:H3"/>
  </mergeCells>
  <phoneticPr fontId="18" type="noConversion"/>
  <conditionalFormatting sqref="A13:H19">
    <cfRule type="expression" dxfId="6" priority="1">
      <formula>$C13&lt;AVERAGE($C$13:$C$19)</formula>
    </cfRule>
  </conditionalFormatting>
  <conditionalFormatting sqref="B9">
    <cfRule type="cellIs" dxfId="5" priority="9" operator="lessThanOrEqual">
      <formula>0</formula>
    </cfRule>
    <cfRule type="cellIs" dxfId="4" priority="10" operator="greaterThan">
      <formula>0</formula>
    </cfRule>
  </conditionalFormatting>
  <conditionalFormatting sqref="D9">
    <cfRule type="cellIs" dxfId="3" priority="6" operator="lessThanOrEqual">
      <formula>0</formula>
    </cfRule>
    <cfRule type="cellIs" dxfId="2" priority="7" operator="greaterThan">
      <formula>0</formula>
    </cfRule>
  </conditionalFormatting>
  <conditionalFormatting sqref="F9">
    <cfRule type="cellIs" dxfId="1" priority="3" operator="lessThanOrEqual">
      <formula>0</formula>
    </cfRule>
    <cfRule type="cellIs" dxfId="0" priority="4" operator="greaterThan">
      <formula>0</formula>
    </cfRule>
  </conditionalFormatting>
  <conditionalFormatting sqref="G7">
    <cfRule type="dataBar" priority="1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{3C3088BA-F541-4D66-9AA3-DBF3575AA040}</x14:id>
        </ext>
      </extLst>
    </cfRule>
  </conditionalFormatting>
  <dataValidations count="1">
    <dataValidation type="list" allowBlank="1" showInputMessage="1" showErrorMessage="1" sqref="H5" xr:uid="{6287C1B1-258F-41E2-80DB-75D7E1866A25}">
      <formula1>"全部,美团,饿了么"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227FE028-9956-4CDA-9255-AFA8959FACF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5" id="{41BF168A-5E55-4470-BDFB-58F2FB7F282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2" id="{F1FB466A-3243-456D-AF00-29CA56238B9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F9</xm:sqref>
        </x14:conditionalFormatting>
        <x14:conditionalFormatting xmlns:xm="http://schemas.microsoft.com/office/excel/2006/main">
          <x14:cfRule type="dataBar" id="{3C3088BA-F541-4D66-9AA3-DBF3575AA04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831F6424-F844-4239-B169-95D66C93AA5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大厂周报!G25:G31</xm:f>
              <xm:sqref>F6</xm:sqref>
            </x14:sparkline>
          </x14:sparklines>
        </x14:sparklineGroup>
        <x14:sparklineGroup displayEmptyCellsAs="gap" markers="1" xr2:uid="{6B9A97A2-AB35-4482-959C-2CF4F74FBC5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大厂周报!E25:E31</xm:f>
              <xm:sqref>D6</xm:sqref>
            </x14:sparkline>
          </x14:sparklines>
        </x14:sparklineGroup>
        <x14:sparklineGroup displayEmptyCellsAs="gap" markers="1" xr2:uid="{9CDB9E52-CA6B-4861-99AC-7511A029F32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大厂周报!C25:C31</xm:f>
              <xm:sqref>B6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AEC4-1FC7-4586-BE7F-3DF260D65DA1}">
  <sheetPr>
    <tabColor theme="9" tint="0.39997558519241921"/>
  </sheetPr>
  <dimension ref="A1:X562"/>
  <sheetViews>
    <sheetView workbookViewId="0"/>
  </sheetViews>
  <sheetFormatPr defaultRowHeight="14.25"/>
  <cols>
    <col min="1" max="1" width="10.46484375" style="1" bestFit="1" customWidth="1"/>
    <col min="3" max="3" width="23.46484375" bestFit="1" customWidth="1"/>
    <col min="4" max="4" width="11.59765625" bestFit="1" customWidth="1"/>
    <col min="5" max="5" width="24.46484375" bestFit="1" customWidth="1"/>
    <col min="9" max="9" width="30.1328125" customWidth="1"/>
    <col min="10" max="10" width="8.86328125" customWidth="1"/>
    <col min="11" max="11" width="10.265625" customWidth="1"/>
    <col min="12" max="14" width="12.1328125" customWidth="1"/>
    <col min="15" max="16" width="11" bestFit="1" customWidth="1"/>
    <col min="17" max="19" width="10.265625" customWidth="1"/>
    <col min="20" max="22" width="11.265625" customWidth="1"/>
    <col min="23" max="24" width="10.265625" customWidth="1"/>
  </cols>
  <sheetData>
    <row r="1" spans="1:24">
      <c r="A1" s="1" t="s">
        <v>3</v>
      </c>
      <c r="B1" t="s">
        <v>124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58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14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14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1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14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14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14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14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151</v>
      </c>
      <c r="D9" t="s">
        <v>45</v>
      </c>
      <c r="E9" t="s">
        <v>21</v>
      </c>
      <c r="F9" s="14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拌客源数据1-8月</vt:lpstr>
      <vt:lpstr>数据透视图表</vt:lpstr>
      <vt:lpstr>常用函数</vt:lpstr>
      <vt:lpstr>大厂周报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Kunpeng Jiang</cp:lastModifiedBy>
  <dcterms:created xsi:type="dcterms:W3CDTF">2021-06-18T07:16:56Z</dcterms:created>
  <dcterms:modified xsi:type="dcterms:W3CDTF">2023-11-01T23:51:55Z</dcterms:modified>
</cp:coreProperties>
</file>