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小俊超可爱\Desktop\本科\2021-2022春季学期\投资理论与实践\"/>
    </mc:Choice>
  </mc:AlternateContent>
  <xr:revisionPtr revIDLastSave="0" documentId="13_ncr:1_{0F04CCEA-03FF-465F-9B74-C8D342AB8588}" xr6:coauthVersionLast="47" xr6:coauthVersionMax="47" xr10:uidLastSave="{00000000-0000-0000-0000-000000000000}"/>
  <bookViews>
    <workbookView xWindow="-93" yWindow="-93" windowWidth="20186" windowHeight="12800" activeTab="3" xr2:uid="{CF3D1A1F-D5C6-4AD0-B15E-60DAFC896ED6}"/>
  </bookViews>
  <sheets>
    <sheet name="未来股利预测" sheetId="1" r:id="rId1"/>
    <sheet name="现金流分析" sheetId="5" r:id="rId2"/>
    <sheet name="利润增长" sheetId="4" r:id="rId3"/>
    <sheet name="PE&amp;企业成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5" l="1"/>
  <c r="W12" i="5"/>
  <c r="N12" i="5"/>
  <c r="U12" i="5"/>
  <c r="L24" i="5"/>
  <c r="L12" i="5"/>
  <c r="V10" i="5"/>
  <c r="W10" i="5"/>
  <c r="X10" i="5"/>
  <c r="Y10" i="5"/>
  <c r="Z10" i="5"/>
  <c r="AA10" i="5"/>
  <c r="M22" i="5"/>
  <c r="N22" i="5"/>
  <c r="O22" i="5"/>
  <c r="P22" i="5"/>
  <c r="Q22" i="5"/>
  <c r="R22" i="5"/>
  <c r="W3" i="5"/>
  <c r="N15" i="5"/>
  <c r="V8" i="5"/>
  <c r="U8" i="5"/>
  <c r="U10" i="5" s="1"/>
  <c r="X3" i="5"/>
  <c r="Y3" i="5" s="1"/>
  <c r="W8" i="5"/>
  <c r="M20" i="5"/>
  <c r="L20" i="5"/>
  <c r="L22" i="5" s="1"/>
  <c r="O15" i="5"/>
  <c r="L10" i="5"/>
  <c r="M10" i="5"/>
  <c r="N10" i="5"/>
  <c r="O10" i="5"/>
  <c r="P10" i="5"/>
  <c r="Q10" i="5"/>
  <c r="R10" i="5"/>
  <c r="O8" i="5"/>
  <c r="M8" i="5"/>
  <c r="N8" i="5"/>
  <c r="N3" i="5"/>
  <c r="O3" i="5"/>
  <c r="P3" i="5"/>
  <c r="Q3" i="5" s="1"/>
  <c r="L8" i="5"/>
  <c r="G74" i="5"/>
  <c r="F74" i="5"/>
  <c r="E74" i="5"/>
  <c r="I33" i="5"/>
  <c r="I74" i="5" s="1"/>
  <c r="H33" i="5"/>
  <c r="H74" i="5" s="1"/>
  <c r="G33" i="5"/>
  <c r="F33" i="5"/>
  <c r="E33" i="5"/>
  <c r="M22" i="4"/>
  <c r="N22" i="4" s="1"/>
  <c r="O22" i="4" s="1"/>
  <c r="P22" i="4" s="1"/>
  <c r="L22" i="4"/>
  <c r="M21" i="4"/>
  <c r="N21" i="4" s="1"/>
  <c r="O21" i="4" s="1"/>
  <c r="P21" i="4" s="1"/>
  <c r="L21" i="4"/>
  <c r="L13" i="4"/>
  <c r="L12" i="4"/>
  <c r="M12" i="4" s="1"/>
  <c r="N12" i="4" s="1"/>
  <c r="O12" i="4" s="1"/>
  <c r="P12" i="4" s="1"/>
  <c r="L11" i="4"/>
  <c r="M20" i="4"/>
  <c r="N20" i="4" s="1"/>
  <c r="O20" i="4" s="1"/>
  <c r="P20" i="4" s="1"/>
  <c r="L20" i="4"/>
  <c r="M13" i="4"/>
  <c r="N13" i="4" s="1"/>
  <c r="O13" i="4" s="1"/>
  <c r="P13" i="4" s="1"/>
  <c r="M11" i="4"/>
  <c r="N11" i="4" s="1"/>
  <c r="O11" i="4" s="1"/>
  <c r="P11" i="4" s="1"/>
  <c r="L4" i="4"/>
  <c r="L3" i="4"/>
  <c r="M3" i="4" s="1"/>
  <c r="N3" i="4" s="1"/>
  <c r="O3" i="4" s="1"/>
  <c r="P3" i="4" s="1"/>
  <c r="L2" i="4"/>
  <c r="M2" i="4"/>
  <c r="N2" i="4" s="1"/>
  <c r="O2" i="4" s="1"/>
  <c r="P2" i="4" s="1"/>
  <c r="M4" i="4"/>
  <c r="N4" i="4" s="1"/>
  <c r="O4" i="4" s="1"/>
  <c r="P4" i="4" s="1"/>
  <c r="F42" i="1"/>
  <c r="G42" i="1" s="1"/>
  <c r="H42" i="1" s="1"/>
  <c r="I42" i="1" s="1"/>
  <c r="J42" i="1" s="1"/>
  <c r="F22" i="1"/>
  <c r="G22" i="1" s="1"/>
  <c r="H22" i="1" s="1"/>
  <c r="I22" i="1" s="1"/>
  <c r="J22" i="1" s="1"/>
  <c r="F31" i="1"/>
  <c r="G31" i="1" s="1"/>
  <c r="H31" i="1" s="1"/>
  <c r="I31" i="1" s="1"/>
  <c r="J31" i="1" s="1"/>
  <c r="S4" i="1"/>
  <c r="T4" i="1" s="1"/>
  <c r="S9" i="1"/>
  <c r="T9" i="1" s="1"/>
  <c r="S11" i="1"/>
  <c r="T11" i="1"/>
  <c r="U11" i="1"/>
  <c r="V11" i="1" s="1"/>
  <c r="S12" i="1"/>
  <c r="T12" i="1" s="1"/>
  <c r="F40" i="1"/>
  <c r="G40" i="1"/>
  <c r="F39" i="1"/>
  <c r="F38" i="1"/>
  <c r="G38" i="1"/>
  <c r="F20" i="1"/>
  <c r="G20" i="1"/>
  <c r="F19" i="1"/>
  <c r="F18" i="1"/>
  <c r="F29" i="1"/>
  <c r="F28" i="1"/>
  <c r="F27" i="1"/>
  <c r="G27" i="1"/>
  <c r="C40" i="1"/>
  <c r="D40" i="1"/>
  <c r="E40" i="1"/>
  <c r="C39" i="1"/>
  <c r="D39" i="1"/>
  <c r="E39" i="1"/>
  <c r="C38" i="1"/>
  <c r="D38" i="1"/>
  <c r="E38" i="1"/>
  <c r="C37" i="1"/>
  <c r="D37" i="1"/>
  <c r="E37" i="1"/>
  <c r="C29" i="1"/>
  <c r="D29" i="1"/>
  <c r="E29" i="1"/>
  <c r="C28" i="1"/>
  <c r="D28" i="1"/>
  <c r="E28" i="1"/>
  <c r="C27" i="1"/>
  <c r="D27" i="1"/>
  <c r="E27" i="1"/>
  <c r="C26" i="1"/>
  <c r="D26" i="1"/>
  <c r="E26" i="1"/>
  <c r="C20" i="1"/>
  <c r="C19" i="1"/>
  <c r="C18" i="1"/>
  <c r="C17" i="1"/>
  <c r="D20" i="1"/>
  <c r="E20" i="1"/>
  <c r="D19" i="1"/>
  <c r="E19" i="1"/>
  <c r="C8" i="1"/>
  <c r="C7" i="1"/>
  <c r="C6" i="1"/>
  <c r="D18" i="1"/>
  <c r="E18" i="1"/>
  <c r="C5" i="1"/>
  <c r="D17" i="1"/>
  <c r="E17" i="1"/>
  <c r="C4" i="1"/>
  <c r="D8" i="1"/>
  <c r="E8" i="1"/>
  <c r="D7" i="1"/>
  <c r="E7" i="1"/>
  <c r="D6" i="1"/>
  <c r="E6" i="1"/>
  <c r="D5" i="1"/>
  <c r="E5" i="1"/>
  <c r="D4" i="1"/>
  <c r="E4" i="1"/>
  <c r="Y8" i="5" l="1"/>
  <c r="Z3" i="5"/>
  <c r="X8" i="5"/>
  <c r="P15" i="5"/>
  <c r="O20" i="5"/>
  <c r="N20" i="5"/>
  <c r="R3" i="5"/>
  <c r="R8" i="5" s="1"/>
  <c r="Q8" i="5"/>
  <c r="P8" i="5"/>
  <c r="U12" i="1"/>
  <c r="H28" i="1"/>
  <c r="H19" i="1"/>
  <c r="H39" i="1"/>
  <c r="W11" i="1"/>
  <c r="H40" i="1"/>
  <c r="H38" i="1"/>
  <c r="H18" i="1"/>
  <c r="H27" i="1"/>
  <c r="U9" i="1"/>
  <c r="U4" i="1"/>
  <c r="H29" i="1"/>
  <c r="H20" i="1"/>
  <c r="G18" i="1"/>
  <c r="G29" i="1"/>
  <c r="G39" i="1"/>
  <c r="G19" i="1"/>
  <c r="G28" i="1"/>
  <c r="Z8" i="5" l="1"/>
  <c r="AA3" i="5"/>
  <c r="AA8" i="5" s="1"/>
  <c r="P20" i="5"/>
  <c r="Q15" i="5"/>
  <c r="V4" i="1"/>
  <c r="I40" i="1"/>
  <c r="I29" i="1"/>
  <c r="V9" i="1"/>
  <c r="I18" i="1"/>
  <c r="I27" i="1"/>
  <c r="I38" i="1"/>
  <c r="V12" i="1"/>
  <c r="I28" i="1"/>
  <c r="I19" i="1"/>
  <c r="I39" i="1"/>
  <c r="I20" i="1"/>
  <c r="Q20" i="5" l="1"/>
  <c r="R15" i="5"/>
  <c r="R20" i="5" s="1"/>
  <c r="W4" i="1"/>
  <c r="J40" i="1"/>
  <c r="J29" i="1"/>
  <c r="J20" i="1"/>
  <c r="W12" i="1"/>
  <c r="J28" i="1"/>
  <c r="J19" i="1"/>
  <c r="J39" i="1"/>
  <c r="J27" i="1"/>
  <c r="W9" i="1"/>
  <c r="J18" i="1"/>
  <c r="J38" i="1"/>
</calcChain>
</file>

<file path=xl/sharedStrings.xml><?xml version="1.0" encoding="utf-8"?>
<sst xmlns="http://schemas.openxmlformats.org/spreadsheetml/2006/main" count="640" uniqueCount="451">
  <si>
    <t>主营业务收入同比增长率</t>
    <phoneticPr fontId="2" type="noConversion"/>
  </si>
  <si>
    <t>主营业务成本/主营业务收入</t>
    <phoneticPr fontId="2" type="noConversion"/>
  </si>
  <si>
    <t>主营业务税金及附加/主营业务收入</t>
    <phoneticPr fontId="2" type="noConversion"/>
  </si>
  <si>
    <t>营业费用/主营业务收入</t>
    <phoneticPr fontId="2" type="noConversion"/>
  </si>
  <si>
    <t>管理费用/主营业务收入</t>
    <phoneticPr fontId="2" type="noConversion"/>
  </si>
  <si>
    <t>实际税率</t>
    <phoneticPr fontId="2" type="noConversion"/>
  </si>
  <si>
    <t>股利分配比例</t>
    <phoneticPr fontId="2" type="noConversion"/>
  </si>
  <si>
    <t>会计年度截止日：12/31</t>
    <phoneticPr fontId="2" type="noConversion"/>
  </si>
  <si>
    <t>销售收入增长率</t>
    <phoneticPr fontId="2" type="noConversion"/>
  </si>
  <si>
    <t>销货成本/销售收入</t>
    <phoneticPr fontId="2" type="noConversion"/>
  </si>
  <si>
    <t>管理费用/销售收入</t>
    <phoneticPr fontId="2" type="noConversion"/>
  </si>
  <si>
    <t>营业费用/销售收入</t>
    <phoneticPr fontId="2" type="noConversion"/>
  </si>
  <si>
    <t>乐观情景预测</t>
    <phoneticPr fontId="2" type="noConversion"/>
  </si>
  <si>
    <t>悲观情景预测</t>
    <phoneticPr fontId="2" type="noConversion"/>
  </si>
  <si>
    <t>正常情景预测</t>
    <phoneticPr fontId="2" type="noConversion"/>
  </si>
  <si>
    <t>2022E</t>
    <phoneticPr fontId="2" type="noConversion"/>
  </si>
  <si>
    <t>2023E</t>
    <phoneticPr fontId="2" type="noConversion"/>
  </si>
  <si>
    <t>2024E</t>
    <phoneticPr fontId="2" type="noConversion"/>
  </si>
  <si>
    <t>2025E</t>
    <phoneticPr fontId="2" type="noConversion"/>
  </si>
  <si>
    <t>2026E</t>
    <phoneticPr fontId="2" type="noConversion"/>
  </si>
  <si>
    <t>营业成本</t>
    <phoneticPr fontId="2" type="noConversion"/>
  </si>
  <si>
    <t>营业税金及附加</t>
    <phoneticPr fontId="2" type="noConversion"/>
  </si>
  <si>
    <t>管理费用</t>
    <phoneticPr fontId="2" type="noConversion"/>
  </si>
  <si>
    <t>销售费用</t>
    <phoneticPr fontId="2" type="noConversion"/>
  </si>
  <si>
    <t>财务费用</t>
  </si>
  <si>
    <t>财务费用</t>
    <phoneticPr fontId="2" type="noConversion"/>
  </si>
  <si>
    <t>研发费用</t>
    <phoneticPr fontId="2" type="noConversion"/>
  </si>
  <si>
    <t>营业收入（亿）</t>
    <phoneticPr fontId="2" type="noConversion"/>
  </si>
  <si>
    <t>利息收入（亿）</t>
    <phoneticPr fontId="2" type="noConversion"/>
  </si>
  <si>
    <t>手续费及佣金收入（万）</t>
    <phoneticPr fontId="2" type="noConversion"/>
  </si>
  <si>
    <t>已赚保费（万）</t>
    <phoneticPr fontId="2" type="noConversion"/>
  </si>
  <si>
    <t>营业总成本（亿）</t>
    <phoneticPr fontId="2" type="noConversion"/>
  </si>
  <si>
    <t>资产处置收益（万元）</t>
    <phoneticPr fontId="2" type="noConversion"/>
  </si>
  <si>
    <t>投资净收益（亿元）</t>
    <phoneticPr fontId="2" type="noConversion"/>
  </si>
  <si>
    <t>其他收益（亿元）</t>
    <phoneticPr fontId="2" type="noConversion"/>
  </si>
  <si>
    <t>公允价值变动净收益（万元）</t>
    <phoneticPr fontId="2" type="noConversion"/>
  </si>
  <si>
    <t>营业总收入（亿）</t>
    <phoneticPr fontId="2" type="noConversion"/>
  </si>
  <si>
    <t>非经营性净收益（亿）</t>
    <phoneticPr fontId="2" type="noConversion"/>
  </si>
  <si>
    <t>（营业外支出）</t>
    <phoneticPr fontId="2" type="noConversion"/>
  </si>
  <si>
    <t>净利润</t>
  </si>
  <si>
    <t>每股收益</t>
    <phoneticPr fontId="2" type="noConversion"/>
  </si>
  <si>
    <t>基本每股收益</t>
    <phoneticPr fontId="2" type="noConversion"/>
  </si>
  <si>
    <t>稀释每股收益</t>
    <phoneticPr fontId="2" type="noConversion"/>
  </si>
  <si>
    <t>营业外收入（亿元）</t>
    <phoneticPr fontId="2" type="noConversion"/>
  </si>
  <si>
    <t>营业利润（亿元）</t>
    <phoneticPr fontId="2" type="noConversion"/>
  </si>
  <si>
    <t>利润总额（亿元）</t>
    <phoneticPr fontId="2" type="noConversion"/>
  </si>
  <si>
    <t>终止经营净利润（万元）</t>
    <phoneticPr fontId="2" type="noConversion"/>
  </si>
  <si>
    <t>持续经营净利润（亿元）</t>
    <phoneticPr fontId="2" type="noConversion"/>
  </si>
  <si>
    <t>净利润（亿元）</t>
    <phoneticPr fontId="2" type="noConversion"/>
  </si>
  <si>
    <t>（所得税费用）（亿元）</t>
    <phoneticPr fontId="2" type="noConversion"/>
  </si>
  <si>
    <t>减：少数股东损益（亿元）</t>
    <phoneticPr fontId="2" type="noConversion"/>
  </si>
  <si>
    <t>归属母公司所有者的净利润（亿元）</t>
    <phoneticPr fontId="2" type="noConversion"/>
  </si>
  <si>
    <t>以2017-2021年平均增长率为基准</t>
    <phoneticPr fontId="2" type="noConversion"/>
  </si>
  <si>
    <t>正常增长率=</t>
    <phoneticPr fontId="2" type="noConversion"/>
  </si>
  <si>
    <t>销货成本增长率=</t>
    <phoneticPr fontId="2" type="noConversion"/>
  </si>
  <si>
    <t>管理费用增长率=</t>
    <phoneticPr fontId="2" type="noConversion"/>
  </si>
  <si>
    <t>营业费用增长率=</t>
    <phoneticPr fontId="2" type="noConversion"/>
  </si>
  <si>
    <t>乐观增长率=</t>
    <phoneticPr fontId="2" type="noConversion"/>
  </si>
  <si>
    <t>悲观增长率=</t>
    <phoneticPr fontId="2" type="noConversion"/>
  </si>
  <si>
    <t>EPS</t>
    <phoneticPr fontId="2" type="noConversion"/>
  </si>
  <si>
    <t>EPS增长率=</t>
    <phoneticPr fontId="2" type="noConversion"/>
  </si>
  <si>
    <t>现金流量表</t>
    <phoneticPr fontId="2" type="noConversion"/>
  </si>
  <si>
    <t>经营活动产生的现金流量</t>
  </si>
  <si>
    <t>销售商品、提供劳务收到的现金</t>
  </si>
  <si>
    <t>1559亿</t>
  </si>
  <si>
    <t>1664亿</t>
  </si>
  <si>
    <t>1350亿</t>
  </si>
  <si>
    <t>1076亿</t>
  </si>
  <si>
    <t>客户存款和同业存放款项净增加额</t>
  </si>
  <si>
    <t>-7856万</t>
  </si>
  <si>
    <t>-9251万</t>
  </si>
  <si>
    <t>3190万</t>
  </si>
  <si>
    <t>4893万</t>
  </si>
  <si>
    <t>1.217亿</t>
  </si>
  <si>
    <t>向中央银行借款净增加额</t>
  </si>
  <si>
    <t>--</t>
  </si>
  <si>
    <t>-427.4万</t>
  </si>
  <si>
    <t>向其他金融机构拆入资金净增加额</t>
  </si>
  <si>
    <t>-7.000亿</t>
  </si>
  <si>
    <t>10.00亿</t>
  </si>
  <si>
    <t>收取利息、手续费及佣金的现金</t>
  </si>
  <si>
    <t>9.557亿</t>
  </si>
  <si>
    <t>11.37亿</t>
  </si>
  <si>
    <t>10.51亿</t>
  </si>
  <si>
    <t>12.08亿</t>
  </si>
  <si>
    <t>15.88亿</t>
  </si>
  <si>
    <t>回购业务资金净增加额</t>
  </si>
  <si>
    <t>2.715亿</t>
  </si>
  <si>
    <t>4.750亿</t>
  </si>
  <si>
    <t>20.75亿</t>
  </si>
  <si>
    <t>收到的税收返还</t>
  </si>
  <si>
    <t>24.67亿</t>
  </si>
  <si>
    <t>24.84亿</t>
  </si>
  <si>
    <t>18.54亿</t>
  </si>
  <si>
    <t>23.57亿</t>
  </si>
  <si>
    <t>16.57亿</t>
  </si>
  <si>
    <t>收到其他与经营活动有关的现金</t>
  </si>
  <si>
    <t>39.39亿</t>
  </si>
  <si>
    <t>46.98亿</t>
  </si>
  <si>
    <t>27.96亿</t>
  </si>
  <si>
    <t>75.67亿</t>
  </si>
  <si>
    <t>27.00亿</t>
  </si>
  <si>
    <t>经营活动现金流入小计</t>
  </si>
  <si>
    <t>1772亿</t>
  </si>
  <si>
    <t>1639亿</t>
  </si>
  <si>
    <t>1752亿</t>
  </si>
  <si>
    <t>1462亿</t>
  </si>
  <si>
    <t>1137亿</t>
  </si>
  <si>
    <t>购买商品、接受劳务支付的现金</t>
  </si>
  <si>
    <t>1456亿</t>
  </si>
  <si>
    <t>1218亿</t>
  </si>
  <si>
    <t>942.1亿</t>
  </si>
  <si>
    <t>780.5亿</t>
  </si>
  <si>
    <t>583.7亿</t>
  </si>
  <si>
    <t>客户贷款及垫款净增加额</t>
  </si>
  <si>
    <t>-11.32亿</t>
  </si>
  <si>
    <t>-90.91亿</t>
  </si>
  <si>
    <t>75.29亿</t>
  </si>
  <si>
    <t>23.43亿</t>
  </si>
  <si>
    <t>20.24亿</t>
  </si>
  <si>
    <t>存放中央银行和同业款项净增加额</t>
  </si>
  <si>
    <t>-6.339亿</t>
  </si>
  <si>
    <t>-9.762亿</t>
  </si>
  <si>
    <t>-3134万</t>
  </si>
  <si>
    <t>1.045亿</t>
  </si>
  <si>
    <t>2.375亿</t>
  </si>
  <si>
    <t>支付利息、手续费及佣金的现金</t>
  </si>
  <si>
    <t>5.254亿</t>
  </si>
  <si>
    <t>3.128亿</t>
  </si>
  <si>
    <t>1.033亿</t>
  </si>
  <si>
    <t>3157万</t>
  </si>
  <si>
    <t>1.848亿</t>
  </si>
  <si>
    <t>支付给职工以及为职工支付的现金</t>
  </si>
  <si>
    <t>98.49亿</t>
  </si>
  <si>
    <t>89.01亿</t>
  </si>
  <si>
    <t>88.31亿</t>
  </si>
  <si>
    <t>85.75亿</t>
  </si>
  <si>
    <t>76.85亿</t>
  </si>
  <si>
    <t>支付的各项税费</t>
  </si>
  <si>
    <t>83.72亿</t>
  </si>
  <si>
    <t>81.84亿</t>
  </si>
  <si>
    <t>151.3亿</t>
  </si>
  <si>
    <t>151.4亿</t>
  </si>
  <si>
    <t>132.0亿</t>
  </si>
  <si>
    <t>支付其他与经营活动有关的现金</t>
  </si>
  <si>
    <t>127.3亿</t>
  </si>
  <si>
    <t>155.3亿</t>
  </si>
  <si>
    <t>215.3亿</t>
  </si>
  <si>
    <t>150.3亿</t>
  </si>
  <si>
    <t>156.3亿</t>
  </si>
  <si>
    <t>经营活动现金流出小计</t>
  </si>
  <si>
    <t>1753亿</t>
  </si>
  <si>
    <t>1447亿</t>
  </si>
  <si>
    <t>1473亿</t>
  </si>
  <si>
    <t>1193亿</t>
  </si>
  <si>
    <t>973.2亿</t>
  </si>
  <si>
    <t>经营活动产生的现金流量净额</t>
  </si>
  <si>
    <t>投资活动产生的现金流量</t>
  </si>
  <si>
    <t>收回投资收到的现金</t>
  </si>
  <si>
    <t>73.50亿</t>
  </si>
  <si>
    <t>95.21亿</t>
  </si>
  <si>
    <t>31.31亿</t>
  </si>
  <si>
    <t>67.11亿</t>
  </si>
  <si>
    <t>34.04亿</t>
  </si>
  <si>
    <t>取得投资收益收到的现金</t>
  </si>
  <si>
    <t>1.615亿</t>
  </si>
  <si>
    <t>3.054亿</t>
  </si>
  <si>
    <t>4.269亿</t>
  </si>
  <si>
    <t>5.795亿</t>
  </si>
  <si>
    <t>1.521亿</t>
  </si>
  <si>
    <t>处置固定资产、无形资产和其他长期资产收回的现金净额</t>
  </si>
  <si>
    <t>1496万</t>
  </si>
  <si>
    <t>663.2万</t>
  </si>
  <si>
    <t>961.5万</t>
  </si>
  <si>
    <t>630.2万</t>
  </si>
  <si>
    <t>354.9万</t>
  </si>
  <si>
    <t>处置子公司及其他营业单位收到的现金</t>
  </si>
  <si>
    <t>1350万</t>
  </si>
  <si>
    <t>收到的其他与投资活动有关的现金</t>
  </si>
  <si>
    <t>478.5亿</t>
  </si>
  <si>
    <t>43.23亿</t>
  </si>
  <si>
    <t>48.78亿</t>
  </si>
  <si>
    <t>26.52亿</t>
  </si>
  <si>
    <t>4.432亿</t>
  </si>
  <si>
    <t>投资活动现金流入小计</t>
  </si>
  <si>
    <t>购建固定资产、无形资产和其他长期资产支付的现金</t>
  </si>
  <si>
    <t>57.27亿</t>
  </si>
  <si>
    <t>45.29亿</t>
  </si>
  <si>
    <t>47.13亿</t>
  </si>
  <si>
    <t>38.38亿</t>
  </si>
  <si>
    <t>24.25亿</t>
  </si>
  <si>
    <t>投资支付的现金</t>
  </si>
  <si>
    <t>181.5亿</t>
  </si>
  <si>
    <t>35.61亿</t>
  </si>
  <si>
    <t>71.93亿</t>
  </si>
  <si>
    <t>154.8亿</t>
  </si>
  <si>
    <t>124.2亿</t>
  </si>
  <si>
    <t>取得子公司及其他营业单位支付的现金净额</t>
  </si>
  <si>
    <t>17.47亿</t>
  </si>
  <si>
    <t>4.259亿</t>
  </si>
  <si>
    <t>7.742亿</t>
  </si>
  <si>
    <t>10.30亿</t>
  </si>
  <si>
    <t>支付其他与投资活动有关的现金</t>
  </si>
  <si>
    <t>1053万</t>
  </si>
  <si>
    <t>55.42亿</t>
  </si>
  <si>
    <t>70.40亿</t>
  </si>
  <si>
    <t>114.5亿</t>
  </si>
  <si>
    <t>514.1亿</t>
  </si>
  <si>
    <t>投资活动现金流出小计</t>
  </si>
  <si>
    <t>投资活动产生的现金流量净额</t>
  </si>
  <si>
    <t>筹资活动产生的现金流量</t>
  </si>
  <si>
    <t>吸收投资收到的现金</t>
  </si>
  <si>
    <t>4511万</t>
  </si>
  <si>
    <t>1467万</t>
  </si>
  <si>
    <t>3.269亿</t>
  </si>
  <si>
    <t>1.115亿</t>
  </si>
  <si>
    <t>其中:子公司吸收少数股东投资收到的现金</t>
  </si>
  <si>
    <t>取得借款收到的现金</t>
  </si>
  <si>
    <t>888.0亿</t>
  </si>
  <si>
    <t>376.0亿</t>
  </si>
  <si>
    <t>212.7亿</t>
  </si>
  <si>
    <t>276.3亿</t>
  </si>
  <si>
    <t>216.1亿</t>
  </si>
  <si>
    <t>收到的其他与筹资活动有关的现金</t>
  </si>
  <si>
    <t>11.44亿</t>
  </si>
  <si>
    <t>511.0万</t>
  </si>
  <si>
    <t>1.603亿</t>
  </si>
  <si>
    <t>筹资活动现金流入小计</t>
  </si>
  <si>
    <t>899.9亿</t>
  </si>
  <si>
    <t>376.1亿</t>
  </si>
  <si>
    <t>216.0亿</t>
  </si>
  <si>
    <t>276.4亿</t>
  </si>
  <si>
    <t>218.8亿</t>
  </si>
  <si>
    <t>偿还债务所支付的现金</t>
  </si>
  <si>
    <t>578.7亿</t>
  </si>
  <si>
    <t>294.8亿</t>
  </si>
  <si>
    <t>276.6亿</t>
  </si>
  <si>
    <t>242.3亿</t>
  </si>
  <si>
    <t>130.1亿</t>
  </si>
  <si>
    <t>分配股利、利润或偿付利息支付的现金</t>
  </si>
  <si>
    <t>175.5亿</t>
  </si>
  <si>
    <t>142.4亿</t>
  </si>
  <si>
    <t>131.6亿</t>
  </si>
  <si>
    <t>8.629亿</t>
  </si>
  <si>
    <t>111.2亿</t>
  </si>
  <si>
    <t>其中:子公司支付给少数股东的股利、利润</t>
  </si>
  <si>
    <t>4.116亿</t>
  </si>
  <si>
    <t>支付的其他与筹资活动有关的现金</t>
  </si>
  <si>
    <t>399.1亿</t>
  </si>
  <si>
    <t>150.1亿</t>
  </si>
  <si>
    <t>3516万</t>
  </si>
  <si>
    <t>筹资活动现金流出小计</t>
  </si>
  <si>
    <t>1153亿</t>
  </si>
  <si>
    <t>587.3亿</t>
  </si>
  <si>
    <t>408.2亿</t>
  </si>
  <si>
    <t>251.3亿</t>
  </si>
  <si>
    <t>241.3亿</t>
  </si>
  <si>
    <t>筹资活动产生的现金流量净额</t>
  </si>
  <si>
    <t>-253.3亿</t>
  </si>
  <si>
    <t>-211.1亿</t>
  </si>
  <si>
    <t>-192.2亿</t>
  </si>
  <si>
    <t>25.14亿</t>
  </si>
  <si>
    <t>-22.48亿</t>
  </si>
  <si>
    <t>汇率变动对现金及现金等价物的影响</t>
  </si>
  <si>
    <t>-5.891亿</t>
  </si>
  <si>
    <t>-3.724亿</t>
  </si>
  <si>
    <t>2.038亿</t>
  </si>
  <si>
    <t>-1.964亿</t>
  </si>
  <si>
    <t>-17.98亿</t>
  </si>
  <si>
    <t>现金及现金等价物净增加额</t>
  </si>
  <si>
    <t>-21.48亿</t>
  </si>
  <si>
    <t>-24.00亿</t>
  </si>
  <si>
    <t>74.13亿</t>
  </si>
  <si>
    <t>-499.6亿</t>
  </si>
  <si>
    <t>加:期初现金及现金等价物余额</t>
  </si>
  <si>
    <t>263.7亿</t>
  </si>
  <si>
    <t>287.7亿</t>
  </si>
  <si>
    <t>213.6亿</t>
  </si>
  <si>
    <t>713.2亿</t>
  </si>
  <si>
    <t>期末现金及现金等价物余额</t>
  </si>
  <si>
    <t>299.5亿</t>
  </si>
  <si>
    <t>补充资料</t>
  </si>
  <si>
    <t>228.3亿</t>
  </si>
  <si>
    <t>222.8亿</t>
  </si>
  <si>
    <t>248.3亿</t>
  </si>
  <si>
    <t>263.8亿</t>
  </si>
  <si>
    <t>225.1亿</t>
  </si>
  <si>
    <t>资产减值准备</t>
  </si>
  <si>
    <t>7.571亿</t>
  </si>
  <si>
    <t>2.734亿</t>
  </si>
  <si>
    <t>11.22亿</t>
  </si>
  <si>
    <t>2.617亿</t>
  </si>
  <si>
    <t>2.648亿</t>
  </si>
  <si>
    <t>固定资产和投资性房地产折旧</t>
  </si>
  <si>
    <t>34.76亿</t>
  </si>
  <si>
    <t>33.77亿</t>
  </si>
  <si>
    <t>29.77亿</t>
  </si>
  <si>
    <t>28.60亿</t>
  </si>
  <si>
    <t>19.48亿</t>
  </si>
  <si>
    <t>其中:固定资产折旧、油气资产折耗、生产性生物资产折旧</t>
  </si>
  <si>
    <t>无形资产摊销</t>
  </si>
  <si>
    <t>1.683亿</t>
  </si>
  <si>
    <t>2.113亿</t>
  </si>
  <si>
    <t>2.158亿</t>
  </si>
  <si>
    <t>2.496亿</t>
  </si>
  <si>
    <t>8470万</t>
  </si>
  <si>
    <t>长期待摊费用摊销</t>
  </si>
  <si>
    <t>151.9万</t>
  </si>
  <si>
    <t>97.95万</t>
  </si>
  <si>
    <t>35.58万</t>
  </si>
  <si>
    <t>递延收益摊销</t>
  </si>
  <si>
    <t>-5776万</t>
  </si>
  <si>
    <t>-4145万</t>
  </si>
  <si>
    <t>-1.387亿</t>
  </si>
  <si>
    <t>处置固定资产、无形资产和其他长期资产的损失</t>
  </si>
  <si>
    <t>-621.2万</t>
  </si>
  <si>
    <t>-294.6万</t>
  </si>
  <si>
    <t>-491.1万</t>
  </si>
  <si>
    <t>-63.66万</t>
  </si>
  <si>
    <t>102.2万</t>
  </si>
  <si>
    <t>固定资产报废损失</t>
  </si>
  <si>
    <t>1596万</t>
  </si>
  <si>
    <t>792.0万</t>
  </si>
  <si>
    <t>1421万</t>
  </si>
  <si>
    <t>2370万</t>
  </si>
  <si>
    <t>744.1万</t>
  </si>
  <si>
    <t>公允价值变动损失</t>
  </si>
  <si>
    <t>5813万</t>
  </si>
  <si>
    <t>-2.002亿</t>
  </si>
  <si>
    <t>-2.283亿</t>
  </si>
  <si>
    <t>-4626万</t>
  </si>
  <si>
    <t>-921.3万</t>
  </si>
  <si>
    <t>-22.07亿</t>
  </si>
  <si>
    <t>-31.17亿</t>
  </si>
  <si>
    <t>-40.97亿</t>
  </si>
  <si>
    <t>-11.13亿</t>
  </si>
  <si>
    <t>15.33亿</t>
  </si>
  <si>
    <t>投资损失</t>
  </si>
  <si>
    <t>-5.221亿</t>
  </si>
  <si>
    <t>-7.130亿</t>
  </si>
  <si>
    <t>2.266亿</t>
  </si>
  <si>
    <t>-1.068亿</t>
  </si>
  <si>
    <t>-3.966亿</t>
  </si>
  <si>
    <t>递延所得税</t>
  </si>
  <si>
    <t>1894万</t>
  </si>
  <si>
    <t>12.84亿</t>
  </si>
  <si>
    <t>-11.90亿</t>
  </si>
  <si>
    <t>-3.568亿</t>
  </si>
  <si>
    <t>-10.27亿</t>
  </si>
  <si>
    <t>其中:递延所得税资产减少</t>
  </si>
  <si>
    <t>-2.015亿</t>
  </si>
  <si>
    <t>9.937亿</t>
  </si>
  <si>
    <t>-12.68亿</t>
  </si>
  <si>
    <t>-4.726亿</t>
  </si>
  <si>
    <t>-11.56亿</t>
  </si>
  <si>
    <t>递延所得税负债增加</t>
  </si>
  <si>
    <t>2.204亿</t>
  </si>
  <si>
    <t>2.901亿</t>
  </si>
  <si>
    <t>7775万</t>
  </si>
  <si>
    <t>1.158亿</t>
  </si>
  <si>
    <t>1.289亿</t>
  </si>
  <si>
    <t>存货的减少</t>
  </si>
  <si>
    <t>-132.3亿</t>
  </si>
  <si>
    <t>-37.34亿</t>
  </si>
  <si>
    <t>-40.50亿</t>
  </si>
  <si>
    <t>-30.03亿</t>
  </si>
  <si>
    <t>-75.83亿</t>
  </si>
  <si>
    <t>经营性应收项目的减少</t>
  </si>
  <si>
    <t>-29.84亿</t>
  </si>
  <si>
    <t>152.4亿</t>
  </si>
  <si>
    <t>-36.56亿</t>
  </si>
  <si>
    <t>-106.3亿</t>
  </si>
  <si>
    <t>-78.64亿</t>
  </si>
  <si>
    <t>经营性应付项目的增加</t>
  </si>
  <si>
    <t>-74.79亿</t>
  </si>
  <si>
    <t>-184.8亿</t>
  </si>
  <si>
    <t>190.9亿</t>
  </si>
  <si>
    <t>67.29亿</t>
  </si>
  <si>
    <t>97.10亿</t>
  </si>
  <si>
    <t>其他</t>
  </si>
  <si>
    <t>9.995亿</t>
  </si>
  <si>
    <t>28.11亿</t>
  </si>
  <si>
    <t>-73.50亿</t>
  </si>
  <si>
    <t>57.36亿</t>
  </si>
  <si>
    <t>-26.99亿</t>
  </si>
  <si>
    <t>现金的期末余额</t>
  </si>
  <si>
    <t>减:现金的期初余额</t>
  </si>
  <si>
    <t>现金及现金等价物的净增加额</t>
  </si>
  <si>
    <t>永续增长率</t>
    <phoneticPr fontId="2" type="noConversion"/>
  </si>
  <si>
    <t>企业现金流</t>
    <phoneticPr fontId="2" type="noConversion"/>
  </si>
  <si>
    <t>1696亿</t>
    <phoneticPr fontId="2" type="noConversion"/>
  </si>
  <si>
    <t>主营构成</t>
  </si>
  <si>
    <t>收入比例</t>
  </si>
  <si>
    <t>主营成本(元)</t>
  </si>
  <si>
    <t>成本比例</t>
  </si>
  <si>
    <t>利润比例</t>
  </si>
  <si>
    <t>毛利率(%)</t>
  </si>
  <si>
    <t>其他(补充)</t>
  </si>
  <si>
    <t>412.3亿</t>
  </si>
  <si>
    <t>按产品分类</t>
  </si>
  <si>
    <t>空调</t>
  </si>
  <si>
    <t>905.8亿</t>
  </si>
  <si>
    <t>生活电器</t>
  </si>
  <si>
    <t>32.63亿</t>
  </si>
  <si>
    <t>工业制品</t>
  </si>
  <si>
    <t>26.05亿</t>
  </si>
  <si>
    <t>绿色能源</t>
  </si>
  <si>
    <t>27.30亿</t>
  </si>
  <si>
    <t>12.42亿</t>
  </si>
  <si>
    <t>智能装备</t>
  </si>
  <si>
    <t>6.061亿</t>
  </si>
  <si>
    <t>774.3亿</t>
  </si>
  <si>
    <t>363.1亿</t>
  </si>
  <si>
    <t>68.04亿</t>
  </si>
  <si>
    <t>30.83亿</t>
  </si>
  <si>
    <t>6.035亿</t>
  </si>
  <si>
    <t>871.9亿</t>
  </si>
  <si>
    <t>398.0亿</t>
  </si>
  <si>
    <t>102.3亿</t>
  </si>
  <si>
    <t>42.71亿</t>
  </si>
  <si>
    <t>20.14亿</t>
  </si>
  <si>
    <t>主营利润(亿元)</t>
    <phoneticPr fontId="2" type="noConversion"/>
  </si>
  <si>
    <t>乐观情况</t>
    <phoneticPr fontId="2" type="noConversion"/>
  </si>
  <si>
    <t>空调利润增长率=</t>
    <phoneticPr fontId="2" type="noConversion"/>
  </si>
  <si>
    <t>主营收入(亿元)</t>
    <phoneticPr fontId="2" type="noConversion"/>
  </si>
  <si>
    <t>生活电器利润增长率=</t>
    <phoneticPr fontId="2" type="noConversion"/>
  </si>
  <si>
    <t>智能装备利润增长率=</t>
    <phoneticPr fontId="2" type="noConversion"/>
  </si>
  <si>
    <t>正常情况</t>
  </si>
  <si>
    <t>悲观情况</t>
    <phoneticPr fontId="2" type="noConversion"/>
  </si>
  <si>
    <t>空调利润</t>
    <phoneticPr fontId="2" type="noConversion"/>
  </si>
  <si>
    <t>智能装备利润</t>
    <phoneticPr fontId="2" type="noConversion"/>
  </si>
  <si>
    <t>生活电器利润</t>
    <phoneticPr fontId="2" type="noConversion"/>
  </si>
  <si>
    <t>预测现金流</t>
    <phoneticPr fontId="2" type="noConversion"/>
  </si>
  <si>
    <t>NOPLAT</t>
    <phoneticPr fontId="2" type="noConversion"/>
  </si>
  <si>
    <t>折旧</t>
    <phoneticPr fontId="2" type="noConversion"/>
  </si>
  <si>
    <t>摊销</t>
    <phoneticPr fontId="2" type="noConversion"/>
  </si>
  <si>
    <t>经营营运资本增加</t>
    <phoneticPr fontId="2" type="noConversion"/>
  </si>
  <si>
    <t>资本支出</t>
    <phoneticPr fontId="2" type="noConversion"/>
  </si>
  <si>
    <t>自由现金流</t>
    <phoneticPr fontId="2" type="noConversion"/>
  </si>
  <si>
    <t>折现率</t>
    <phoneticPr fontId="2" type="noConversion"/>
  </si>
  <si>
    <t>折现后现金流</t>
    <phoneticPr fontId="2" type="noConversion"/>
  </si>
  <si>
    <t>资本成本</t>
    <phoneticPr fontId="2" type="noConversion"/>
  </si>
  <si>
    <t>(假定）无风险利率</t>
  </si>
  <si>
    <t>风险补偿率</t>
    <phoneticPr fontId="2" type="noConversion"/>
  </si>
  <si>
    <t>beta</t>
    <phoneticPr fontId="2" type="noConversion"/>
  </si>
  <si>
    <t>增长率=2.469%</t>
    <phoneticPr fontId="2" type="noConversion"/>
  </si>
  <si>
    <t>正常情况</t>
    <phoneticPr fontId="2" type="noConversion"/>
  </si>
  <si>
    <t>增长率=3%</t>
    <phoneticPr fontId="2" type="noConversion"/>
  </si>
  <si>
    <t>增长率=2%</t>
    <phoneticPr fontId="2" type="noConversion"/>
  </si>
  <si>
    <t>永续增长期的自由现金流</t>
    <phoneticPr fontId="2" type="noConversion"/>
  </si>
  <si>
    <t>格力企业价值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</si>
</sst>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);[Red]\(0.00\)"/>
    <numFmt numFmtId="184" formatCode="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rgb="FF24262B"/>
      <name val="新宋体"/>
      <family val="3"/>
      <charset val="134"/>
    </font>
    <font>
      <b/>
      <sz val="8"/>
      <color rgb="FF333333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333333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5"/>
      <color rgb="FF333333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>
      <alignment vertical="center"/>
    </xf>
    <xf numFmtId="10" fontId="3" fillId="0" borderId="0" xfId="1" applyNumberFormat="1" applyFo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 indent="2"/>
    </xf>
    <xf numFmtId="0" fontId="10" fillId="2" borderId="1" xfId="0" applyFont="1" applyFill="1" applyBorder="1" applyAlignment="1">
      <alignment horizontal="right" vertical="center" wrapText="1"/>
    </xf>
    <xf numFmtId="14" fontId="12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10" fontId="1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11" fillId="0" borderId="0" xfId="1" applyNumberFormat="1" applyFont="1">
      <alignment vertical="center"/>
    </xf>
    <xf numFmtId="2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4" fillId="0" borderId="1" xfId="0" applyFont="1" applyBorder="1" applyAlignment="1">
      <alignment vertical="center"/>
    </xf>
    <xf numFmtId="0" fontId="15" fillId="0" borderId="0" xfId="0" applyFont="1">
      <alignment vertical="center"/>
    </xf>
    <xf numFmtId="10" fontId="14" fillId="0" borderId="5" xfId="0" applyNumberFormat="1" applyFont="1" applyBorder="1" applyAlignment="1">
      <alignment horizontal="center" vertical="center"/>
    </xf>
    <xf numFmtId="10" fontId="14" fillId="0" borderId="7" xfId="0" applyNumberFormat="1" applyFont="1" applyBorder="1" applyAlignment="1">
      <alignment horizontal="center" vertical="center"/>
    </xf>
    <xf numFmtId="10" fontId="14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2" fontId="14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vertical="center"/>
    </xf>
    <xf numFmtId="0" fontId="14" fillId="0" borderId="0" xfId="0" applyFont="1" applyFill="1" applyBorder="1">
      <alignment vertical="center"/>
    </xf>
    <xf numFmtId="18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BED6-714F-401D-9D12-7ABCED6A2FE0}">
  <dimension ref="B1:W46"/>
  <sheetViews>
    <sheetView zoomScale="40" zoomScaleNormal="40" workbookViewId="0">
      <selection activeCell="O40" sqref="O40"/>
    </sheetView>
  </sheetViews>
  <sheetFormatPr defaultRowHeight="14" x14ac:dyDescent="0.45"/>
  <cols>
    <col min="2" max="2" width="47.76171875" bestFit="1" customWidth="1"/>
    <col min="3" max="3" width="18.1171875" bestFit="1" customWidth="1"/>
    <col min="4" max="4" width="9.52734375" bestFit="1" customWidth="1"/>
    <col min="5" max="5" width="24.234375" bestFit="1" customWidth="1"/>
    <col min="6" max="6" width="12.5859375" bestFit="1" customWidth="1"/>
    <col min="7" max="7" width="24.3515625" bestFit="1" customWidth="1"/>
    <col min="8" max="8" width="12.5859375" bestFit="1" customWidth="1"/>
    <col min="9" max="9" width="24.3515625" bestFit="1" customWidth="1"/>
    <col min="10" max="10" width="12.5859375" bestFit="1" customWidth="1"/>
    <col min="11" max="11" width="14.87890625" bestFit="1" customWidth="1"/>
    <col min="12" max="12" width="9.41015625" bestFit="1" customWidth="1"/>
    <col min="14" max="14" width="43.64453125" bestFit="1" customWidth="1"/>
    <col min="15" max="15" width="13.3515625" bestFit="1" customWidth="1"/>
    <col min="16" max="18" width="10.46875" bestFit="1" customWidth="1"/>
    <col min="19" max="19" width="9.703125" bestFit="1" customWidth="1"/>
    <col min="20" max="20" width="10.46875" bestFit="1" customWidth="1"/>
    <col min="21" max="23" width="9.703125" bestFit="1" customWidth="1"/>
  </cols>
  <sheetData>
    <row r="1" spans="2:23" ht="20" x14ac:dyDescent="0.45">
      <c r="B1" s="2"/>
      <c r="C1" s="6"/>
      <c r="D1" s="6"/>
      <c r="E1" s="6"/>
      <c r="F1" s="6"/>
      <c r="G1" s="6"/>
      <c r="H1" s="6"/>
      <c r="I1" s="6"/>
      <c r="J1" s="6"/>
      <c r="K1" s="1"/>
    </row>
    <row r="2" spans="2:23" ht="20" x14ac:dyDescent="0.45">
      <c r="B2" s="2" t="s">
        <v>7</v>
      </c>
      <c r="C2" s="3">
        <v>2019</v>
      </c>
      <c r="D2" s="3">
        <v>2020</v>
      </c>
      <c r="E2" s="3">
        <v>2021</v>
      </c>
      <c r="F2" s="3"/>
      <c r="G2" s="3"/>
      <c r="H2" s="3"/>
      <c r="I2" s="3"/>
      <c r="J2" s="3"/>
      <c r="N2" s="9"/>
      <c r="O2" s="10">
        <v>2018</v>
      </c>
      <c r="P2" s="10">
        <v>2019</v>
      </c>
      <c r="Q2" s="10">
        <v>2020</v>
      </c>
      <c r="R2" s="10">
        <v>2021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</row>
    <row r="3" spans="2:23" ht="20" x14ac:dyDescent="0.45">
      <c r="B3" s="2"/>
      <c r="C3" s="2"/>
      <c r="D3" s="2"/>
      <c r="E3" s="2"/>
      <c r="F3" s="2"/>
      <c r="G3" s="2"/>
      <c r="H3" s="2"/>
      <c r="I3" s="2"/>
      <c r="J3" s="2"/>
      <c r="N3" s="11" t="s">
        <v>36</v>
      </c>
      <c r="O3" s="9">
        <v>1896.54</v>
      </c>
      <c r="P3" s="9">
        <v>1704.97</v>
      </c>
      <c r="Q3" s="9">
        <v>2005.08</v>
      </c>
      <c r="R3" s="9">
        <v>2000.24</v>
      </c>
      <c r="S3" s="9"/>
      <c r="T3" s="9"/>
      <c r="U3" s="9"/>
      <c r="V3" s="9"/>
      <c r="W3" s="9"/>
    </row>
    <row r="4" spans="2:23" ht="20" x14ac:dyDescent="0.45">
      <c r="B4" s="2" t="s">
        <v>0</v>
      </c>
      <c r="C4" s="4">
        <f>(P3-O3)/O3</f>
        <v>-0.10101026079070304</v>
      </c>
      <c r="D4" s="5">
        <f>(Q3-P3)/P3</f>
        <v>0.17602069244620133</v>
      </c>
      <c r="E4" s="5">
        <f>(R3-Q3)/Q3</f>
        <v>-2.4138687733157374E-3</v>
      </c>
      <c r="F4" s="2"/>
      <c r="G4" s="2"/>
      <c r="H4" s="2"/>
      <c r="I4" s="2"/>
      <c r="J4" s="2"/>
      <c r="N4" s="10" t="s">
        <v>27</v>
      </c>
      <c r="O4" s="9">
        <v>1878.69</v>
      </c>
      <c r="P4" s="9">
        <v>1681.99</v>
      </c>
      <c r="Q4" s="9">
        <v>1981.53</v>
      </c>
      <c r="R4" s="9">
        <v>1981.23</v>
      </c>
      <c r="S4" s="12">
        <f t="shared" ref="S4:W4" si="0">R4*(1+13.43%)</f>
        <v>2247.3091890000001</v>
      </c>
      <c r="T4" s="13">
        <f t="shared" si="0"/>
        <v>2549.1228130827003</v>
      </c>
      <c r="U4" s="12">
        <f t="shared" si="0"/>
        <v>2891.4700068797074</v>
      </c>
      <c r="V4" s="12">
        <f t="shared" si="0"/>
        <v>3279.7944288036524</v>
      </c>
      <c r="W4" s="12">
        <f t="shared" si="0"/>
        <v>3720.270820591983</v>
      </c>
    </row>
    <row r="5" spans="2:23" ht="20" x14ac:dyDescent="0.45">
      <c r="B5" s="2" t="s">
        <v>1</v>
      </c>
      <c r="C5" s="5">
        <f>O9/O4</f>
        <v>0.75718718894548853</v>
      </c>
      <c r="D5" s="5">
        <f>P9/P4</f>
        <v>0.73858346363533667</v>
      </c>
      <c r="E5" s="5">
        <f>Q9/Q4</f>
        <v>0.724182828420463</v>
      </c>
      <c r="F5" s="2"/>
      <c r="G5" s="2"/>
      <c r="H5" s="2"/>
      <c r="I5" s="2"/>
      <c r="J5" s="2"/>
      <c r="N5" s="10" t="s">
        <v>28</v>
      </c>
      <c r="O5" s="9">
        <v>17.850000000000001</v>
      </c>
      <c r="P5" s="9">
        <v>22.96</v>
      </c>
      <c r="Q5" s="9">
        <v>23.51</v>
      </c>
      <c r="R5" s="9">
        <v>18.989999999999998</v>
      </c>
      <c r="S5" s="12"/>
      <c r="T5" s="12"/>
      <c r="U5" s="12"/>
      <c r="V5" s="12"/>
      <c r="W5" s="12"/>
    </row>
    <row r="6" spans="2:23" ht="20" x14ac:dyDescent="0.45">
      <c r="B6" s="2" t="s">
        <v>2</v>
      </c>
      <c r="C6" s="5">
        <f>O10/O4</f>
        <v>5.7327180109544408E-3</v>
      </c>
      <c r="D6" s="5">
        <f>P10/P4</f>
        <v>5.7372517077985009E-3</v>
      </c>
      <c r="E6" s="5">
        <f>Q10/Q4</f>
        <v>7.7869121335533654E-3</v>
      </c>
      <c r="F6" s="2"/>
      <c r="G6" s="2"/>
      <c r="H6" s="2"/>
      <c r="I6" s="2"/>
      <c r="J6" s="2"/>
      <c r="N6" s="10" t="s">
        <v>29</v>
      </c>
      <c r="O6" s="9">
        <v>9.86</v>
      </c>
      <c r="P6" s="9">
        <v>223.86</v>
      </c>
      <c r="Q6" s="9">
        <v>383.41</v>
      </c>
      <c r="R6" s="9">
        <v>153.29</v>
      </c>
      <c r="S6" s="12"/>
      <c r="T6" s="12"/>
      <c r="U6" s="12"/>
      <c r="V6" s="12"/>
      <c r="W6" s="12"/>
    </row>
    <row r="7" spans="2:23" ht="20" x14ac:dyDescent="0.45">
      <c r="B7" s="2" t="s">
        <v>3</v>
      </c>
      <c r="C7" s="5">
        <f>O11/O4</f>
        <v>6.1649340764043027E-2</v>
      </c>
      <c r="D7" s="5">
        <f>P11/P4</f>
        <v>7.7545050802917972E-2</v>
      </c>
      <c r="E7" s="5">
        <f>Q11/Q4</f>
        <v>9.2403344890059705E-2</v>
      </c>
      <c r="F7" s="2"/>
      <c r="G7" s="2"/>
      <c r="H7" s="2"/>
      <c r="I7" s="2"/>
      <c r="J7" s="2"/>
      <c r="N7" s="10" t="s">
        <v>30</v>
      </c>
      <c r="O7" s="9">
        <v>9.86</v>
      </c>
      <c r="P7" s="9">
        <v>223.86</v>
      </c>
      <c r="Q7" s="9">
        <v>383.41</v>
      </c>
      <c r="R7" s="9">
        <v>153.29</v>
      </c>
      <c r="S7" s="12"/>
      <c r="T7" s="12"/>
      <c r="U7" s="12"/>
      <c r="V7" s="12"/>
      <c r="W7" s="12"/>
    </row>
    <row r="8" spans="2:23" ht="20" x14ac:dyDescent="0.45">
      <c r="B8" s="2" t="s">
        <v>4</v>
      </c>
      <c r="C8" s="5">
        <f>O12/O4</f>
        <v>2.1562897550953055E-2</v>
      </c>
      <c r="D8" s="5">
        <f>P12/P4</f>
        <v>2.1427000160524141E-2</v>
      </c>
      <c r="E8" s="5">
        <f>Q12/Q4</f>
        <v>1.9156914101729473E-2</v>
      </c>
      <c r="F8" s="2"/>
      <c r="G8" s="2"/>
      <c r="H8" s="2"/>
      <c r="I8" s="2"/>
      <c r="J8" s="2"/>
      <c r="N8" s="11" t="s">
        <v>31</v>
      </c>
      <c r="O8" s="9">
        <v>1635.22</v>
      </c>
      <c r="P8" s="9">
        <v>1462.61</v>
      </c>
      <c r="Q8" s="9">
        <v>1707.24</v>
      </c>
      <c r="R8" s="9">
        <v>1693.28</v>
      </c>
      <c r="S8" s="12"/>
      <c r="T8" s="12"/>
      <c r="U8" s="12"/>
      <c r="V8" s="12"/>
      <c r="W8" s="12"/>
    </row>
    <row r="9" spans="2:23" ht="20" x14ac:dyDescent="0.45">
      <c r="B9" s="2" t="s">
        <v>5</v>
      </c>
      <c r="C9" s="2"/>
      <c r="D9" s="2"/>
      <c r="E9" s="2"/>
      <c r="F9" s="2"/>
      <c r="G9" s="2"/>
      <c r="H9" s="2"/>
      <c r="I9" s="2"/>
      <c r="J9" s="2"/>
      <c r="N9" s="10" t="s">
        <v>20</v>
      </c>
      <c r="O9" s="9">
        <v>1422.52</v>
      </c>
      <c r="P9" s="9">
        <v>1242.29</v>
      </c>
      <c r="Q9" s="9">
        <v>1434.99</v>
      </c>
      <c r="R9" s="9">
        <v>1382.34</v>
      </c>
      <c r="S9" s="12">
        <f t="shared" ref="S9:W9" si="1">R9*(1+16.07%)</f>
        <v>1604.4820380000001</v>
      </c>
      <c r="T9" s="12">
        <f t="shared" si="1"/>
        <v>1862.3223015066003</v>
      </c>
      <c r="U9" s="12">
        <f t="shared" si="1"/>
        <v>2161.5974953587111</v>
      </c>
      <c r="V9" s="12">
        <f t="shared" si="1"/>
        <v>2508.9662128628561</v>
      </c>
      <c r="W9" s="12">
        <f t="shared" si="1"/>
        <v>2912.1570832699172</v>
      </c>
    </row>
    <row r="10" spans="2:23" ht="20" x14ac:dyDescent="0.45">
      <c r="B10" s="2" t="s">
        <v>6</v>
      </c>
      <c r="C10" s="2"/>
      <c r="D10" s="2"/>
      <c r="E10" s="2"/>
      <c r="F10" s="2"/>
      <c r="G10" s="2"/>
      <c r="H10" s="2"/>
      <c r="I10" s="2"/>
      <c r="J10" s="2"/>
      <c r="N10" s="10" t="s">
        <v>21</v>
      </c>
      <c r="O10" s="9">
        <v>10.77</v>
      </c>
      <c r="P10" s="9">
        <v>9.65</v>
      </c>
      <c r="Q10" s="9">
        <v>15.43</v>
      </c>
      <c r="R10" s="9">
        <v>17.420000000000002</v>
      </c>
      <c r="S10" s="12"/>
      <c r="T10" s="12"/>
      <c r="U10" s="12"/>
      <c r="V10" s="12"/>
      <c r="W10" s="12"/>
    </row>
    <row r="11" spans="2:23" ht="20" x14ac:dyDescent="0.45">
      <c r="B11" s="2"/>
      <c r="C11" s="2"/>
      <c r="D11" s="2"/>
      <c r="E11" s="2"/>
      <c r="F11" s="2"/>
      <c r="G11" s="2"/>
      <c r="H11" s="2"/>
      <c r="I11" s="2"/>
      <c r="J11" s="2"/>
      <c r="N11" s="10" t="s">
        <v>23</v>
      </c>
      <c r="O11" s="9">
        <v>115.82</v>
      </c>
      <c r="P11" s="9">
        <v>130.43</v>
      </c>
      <c r="Q11" s="9">
        <v>183.1</v>
      </c>
      <c r="R11" s="9">
        <v>189</v>
      </c>
      <c r="S11" s="12">
        <f t="shared" ref="S11:W11" si="2">R11*(1-5.71%)</f>
        <v>178.2081</v>
      </c>
      <c r="T11" s="12">
        <f t="shared" si="2"/>
        <v>168.03241749</v>
      </c>
      <c r="U11" s="12">
        <f t="shared" si="2"/>
        <v>158.43776645132098</v>
      </c>
      <c r="V11" s="12">
        <f t="shared" si="2"/>
        <v>149.39096998695055</v>
      </c>
      <c r="W11" s="12">
        <f t="shared" si="2"/>
        <v>140.86074560069568</v>
      </c>
    </row>
    <row r="12" spans="2:23" ht="20" x14ac:dyDescent="0.45">
      <c r="B12" s="6" t="s">
        <v>52</v>
      </c>
      <c r="C12" s="6" t="s">
        <v>53</v>
      </c>
      <c r="D12" s="7">
        <v>0.13428000000000001</v>
      </c>
      <c r="E12" s="6" t="s">
        <v>54</v>
      </c>
      <c r="F12" s="7">
        <v>0.16066</v>
      </c>
      <c r="G12" s="6" t="s">
        <v>55</v>
      </c>
      <c r="H12" s="7">
        <v>3.39E-2</v>
      </c>
      <c r="I12" s="6" t="s">
        <v>56</v>
      </c>
      <c r="J12" s="7">
        <v>-5.7079999999999999E-2</v>
      </c>
      <c r="K12" s="2" t="s">
        <v>60</v>
      </c>
      <c r="L12" s="4">
        <v>0.08</v>
      </c>
      <c r="N12" s="10" t="s">
        <v>22</v>
      </c>
      <c r="O12" s="9">
        <v>40.51</v>
      </c>
      <c r="P12" s="9">
        <v>36.04</v>
      </c>
      <c r="Q12" s="9">
        <v>37.96</v>
      </c>
      <c r="R12" s="9">
        <v>43.66</v>
      </c>
      <c r="S12" s="12">
        <f t="shared" ref="S12:W12" si="3">R12*(1+3.39%)</f>
        <v>45.140073999999998</v>
      </c>
      <c r="T12" s="12">
        <f t="shared" si="3"/>
        <v>46.670322508600002</v>
      </c>
      <c r="U12" s="12">
        <f t="shared" si="3"/>
        <v>48.252446441641546</v>
      </c>
      <c r="V12" s="12">
        <f t="shared" si="3"/>
        <v>49.888204376013199</v>
      </c>
      <c r="W12" s="12">
        <f t="shared" si="3"/>
        <v>51.579414504360052</v>
      </c>
    </row>
    <row r="13" spans="2:23" ht="20" x14ac:dyDescent="0.4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10" t="s">
        <v>25</v>
      </c>
      <c r="O13" s="9">
        <v>-22.6</v>
      </c>
      <c r="P13" s="9">
        <v>-19.38</v>
      </c>
      <c r="Q13" s="9">
        <v>-24.27</v>
      </c>
      <c r="R13" s="9">
        <v>-9.48</v>
      </c>
      <c r="S13" s="9"/>
      <c r="T13" s="9"/>
      <c r="U13" s="9"/>
      <c r="V13" s="9"/>
      <c r="W13" s="9"/>
    </row>
    <row r="14" spans="2:23" ht="20" x14ac:dyDescent="0.4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10" t="s">
        <v>26</v>
      </c>
      <c r="O14" s="9">
        <v>62.97</v>
      </c>
      <c r="P14" s="9">
        <v>60.53</v>
      </c>
      <c r="Q14" s="9">
        <v>58.91</v>
      </c>
      <c r="R14" s="9">
        <v>69.88</v>
      </c>
      <c r="S14" s="9"/>
      <c r="T14" s="9"/>
      <c r="U14" s="9"/>
      <c r="V14" s="9"/>
      <c r="W14" s="9"/>
    </row>
    <row r="15" spans="2:23" ht="20" x14ac:dyDescent="0.45">
      <c r="B15" s="2"/>
      <c r="C15" s="6" t="s">
        <v>57</v>
      </c>
      <c r="D15" s="7">
        <v>0.2</v>
      </c>
      <c r="E15" s="6" t="s">
        <v>54</v>
      </c>
      <c r="F15" s="7">
        <v>0.15</v>
      </c>
      <c r="G15" s="6" t="s">
        <v>55</v>
      </c>
      <c r="H15" s="7">
        <v>0.02</v>
      </c>
      <c r="I15" s="6" t="s">
        <v>56</v>
      </c>
      <c r="J15" s="7">
        <v>-0.06</v>
      </c>
      <c r="K15" s="2" t="s">
        <v>60</v>
      </c>
      <c r="L15" s="4">
        <v>0.1</v>
      </c>
      <c r="N15" s="11" t="s">
        <v>37</v>
      </c>
      <c r="O15" s="9">
        <v>5.45</v>
      </c>
      <c r="P15" s="9">
        <v>18.07</v>
      </c>
      <c r="Q15" s="9">
        <v>-1.8</v>
      </c>
      <c r="R15" s="9">
        <v>3.01</v>
      </c>
      <c r="S15" s="9"/>
      <c r="T15" s="9"/>
      <c r="U15" s="9"/>
      <c r="V15" s="9"/>
      <c r="W15" s="9"/>
    </row>
    <row r="16" spans="2:23" ht="20" x14ac:dyDescent="0.45">
      <c r="B16" s="8" t="s">
        <v>12</v>
      </c>
      <c r="C16" s="3">
        <v>2019</v>
      </c>
      <c r="D16" s="3">
        <v>2020</v>
      </c>
      <c r="E16" s="3">
        <v>2021</v>
      </c>
      <c r="F16" s="3" t="s">
        <v>15</v>
      </c>
      <c r="G16" s="3" t="s">
        <v>16</v>
      </c>
      <c r="H16" s="3" t="s">
        <v>17</v>
      </c>
      <c r="I16" s="3" t="s">
        <v>18</v>
      </c>
      <c r="J16" s="3" t="s">
        <v>19</v>
      </c>
      <c r="K16" s="2"/>
      <c r="L16" s="2"/>
      <c r="N16" s="10" t="s">
        <v>35</v>
      </c>
      <c r="O16" s="9">
        <v>-5813.05</v>
      </c>
      <c r="P16" s="9">
        <v>2</v>
      </c>
      <c r="Q16" s="9">
        <v>2.2799999999999998</v>
      </c>
      <c r="R16" s="9">
        <v>4625.74</v>
      </c>
      <c r="S16" s="9"/>
      <c r="T16" s="9"/>
      <c r="U16" s="9"/>
      <c r="V16" s="9"/>
      <c r="W16" s="9"/>
    </row>
    <row r="17" spans="2:23" ht="20" x14ac:dyDescent="0.45">
      <c r="B17" s="2" t="s">
        <v>8</v>
      </c>
      <c r="C17" s="5">
        <f>(P3-O3)/O3</f>
        <v>-0.10101026079070304</v>
      </c>
      <c r="D17" s="5">
        <f>(Q3-P3)/P3</f>
        <v>0.17602069244620133</v>
      </c>
      <c r="E17" s="5">
        <f>(R3-Q3)/Q3</f>
        <v>-2.4138687733157374E-3</v>
      </c>
      <c r="F17" s="4">
        <v>0.2</v>
      </c>
      <c r="G17" s="4">
        <v>0.2</v>
      </c>
      <c r="H17" s="4">
        <v>0.2</v>
      </c>
      <c r="I17" s="4">
        <v>0.2</v>
      </c>
      <c r="J17" s="4">
        <v>0.2</v>
      </c>
      <c r="K17" s="2"/>
      <c r="L17" s="2"/>
      <c r="N17" s="10" t="s">
        <v>33</v>
      </c>
      <c r="O17" s="9">
        <v>5.22</v>
      </c>
      <c r="P17" s="9">
        <v>7.13</v>
      </c>
      <c r="Q17" s="9">
        <v>-2.27</v>
      </c>
      <c r="R17" s="9">
        <v>1.07</v>
      </c>
      <c r="S17" s="9"/>
      <c r="T17" s="9"/>
      <c r="U17" s="9"/>
      <c r="V17" s="9"/>
      <c r="W17" s="9"/>
    </row>
    <row r="18" spans="2:23" ht="20" x14ac:dyDescent="0.45">
      <c r="B18" s="2" t="s">
        <v>9</v>
      </c>
      <c r="C18" s="5">
        <f>O9/O4</f>
        <v>0.75718718894548853</v>
      </c>
      <c r="D18" s="5">
        <f>P9/P4</f>
        <v>0.73858346363533667</v>
      </c>
      <c r="E18" s="5">
        <f>Q9/Q4</f>
        <v>0.724182828420463</v>
      </c>
      <c r="F18" s="5">
        <f t="shared" ref="F18:J18" si="4">R9*(1+15%)/(R4*(1+F17))</f>
        <v>0.66864649737789139</v>
      </c>
      <c r="G18" s="5">
        <f t="shared" si="4"/>
        <v>0.68420875386275115</v>
      </c>
      <c r="H18" s="5">
        <f t="shared" si="4"/>
        <v>0.70013321044564525</v>
      </c>
      <c r="I18" s="5">
        <f t="shared" si="4"/>
        <v>0.71642829706802458</v>
      </c>
      <c r="J18" s="5">
        <f t="shared" si="4"/>
        <v>0.73310263987204094</v>
      </c>
      <c r="K18" s="2"/>
      <c r="L18" s="2"/>
      <c r="N18" s="10" t="s">
        <v>32</v>
      </c>
      <c r="O18" s="9">
        <v>621.23</v>
      </c>
      <c r="P18" s="9">
        <v>294.60000000000002</v>
      </c>
      <c r="Q18" s="9">
        <v>491.12</v>
      </c>
      <c r="R18" s="9">
        <v>63.66</v>
      </c>
      <c r="S18" s="9"/>
      <c r="T18" s="9"/>
      <c r="U18" s="9"/>
      <c r="V18" s="9"/>
      <c r="W18" s="9"/>
    </row>
    <row r="19" spans="2:23" ht="20" x14ac:dyDescent="0.45">
      <c r="B19" s="2" t="s">
        <v>10</v>
      </c>
      <c r="C19" s="5">
        <f>O12/O4</f>
        <v>2.1562897550953055E-2</v>
      </c>
      <c r="D19" s="5">
        <f>P12/P4</f>
        <v>2.1427000160524141E-2</v>
      </c>
      <c r="E19" s="5">
        <f>Q12/Q4</f>
        <v>1.9156914101729473E-2</v>
      </c>
      <c r="F19" s="5">
        <f t="shared" ref="F19:J19" si="5">R12*(1+2%)/(R4*(1+F17))</f>
        <v>1.8731293186555826E-2</v>
      </c>
      <c r="G19" s="5">
        <f t="shared" si="5"/>
        <v>1.7073335119086722E-2</v>
      </c>
      <c r="H19" s="5">
        <f t="shared" si="5"/>
        <v>1.5562127461539066E-2</v>
      </c>
      <c r="I19" s="5">
        <f t="shared" si="5"/>
        <v>1.4184680933161631E-2</v>
      </c>
      <c r="J19" s="5">
        <f t="shared" si="5"/>
        <v>1.2929155970021873E-2</v>
      </c>
      <c r="K19" s="2"/>
      <c r="L19" s="2"/>
      <c r="N19" s="10" t="s">
        <v>34</v>
      </c>
      <c r="O19" s="9">
        <v>8.32</v>
      </c>
      <c r="P19" s="9">
        <v>11.64</v>
      </c>
      <c r="Q19" s="9">
        <v>9.36</v>
      </c>
      <c r="R19" s="9">
        <v>4.09</v>
      </c>
      <c r="S19" s="9"/>
      <c r="T19" s="9"/>
      <c r="U19" s="9"/>
      <c r="V19" s="9"/>
      <c r="W19" s="9"/>
    </row>
    <row r="20" spans="2:23" ht="20" x14ac:dyDescent="0.45">
      <c r="B20" s="2" t="s">
        <v>11</v>
      </c>
      <c r="C20" s="5">
        <f>O11/O4</f>
        <v>6.1649340764043027E-2</v>
      </c>
      <c r="D20" s="5">
        <f>P11/P4</f>
        <v>7.7545050802917972E-2</v>
      </c>
      <c r="E20" s="5">
        <f>Q11/Q4</f>
        <v>9.2403344890059705E-2</v>
      </c>
      <c r="F20" s="5">
        <f t="shared" ref="F20:J20" si="6">R11*(1-6%)/(R4*(1+F17))</f>
        <v>7.4726306385427224E-2</v>
      </c>
      <c r="G20" s="5">
        <f t="shared" si="6"/>
        <v>6.211710684194599E-2</v>
      </c>
      <c r="H20" s="5">
        <f t="shared" si="6"/>
        <v>5.1635563820215877E-2</v>
      </c>
      <c r="I20" s="5">
        <f t="shared" si="6"/>
        <v>4.2922659901332573E-2</v>
      </c>
      <c r="J20" s="5">
        <f t="shared" si="6"/>
        <v>3.5679957701636678E-2</v>
      </c>
      <c r="K20" s="2"/>
      <c r="L20" s="2"/>
      <c r="N20" s="11" t="s">
        <v>44</v>
      </c>
      <c r="O20" s="9">
        <v>266.77</v>
      </c>
      <c r="P20" s="9">
        <v>260.44</v>
      </c>
      <c r="Q20" s="9">
        <v>296.05</v>
      </c>
      <c r="R20" s="9">
        <v>309.97000000000003</v>
      </c>
      <c r="S20" s="9"/>
      <c r="T20" s="9"/>
      <c r="U20" s="9"/>
      <c r="V20" s="9"/>
      <c r="W20" s="9"/>
    </row>
    <row r="21" spans="2:23" ht="20" x14ac:dyDescent="0.45">
      <c r="B21" s="2" t="s">
        <v>6</v>
      </c>
      <c r="C21" s="5">
        <v>0</v>
      </c>
      <c r="D21" s="5">
        <v>0</v>
      </c>
      <c r="E21" s="5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2"/>
      <c r="L21" s="2"/>
      <c r="N21" s="10" t="s">
        <v>43</v>
      </c>
      <c r="O21" s="9">
        <v>1.54</v>
      </c>
      <c r="P21" s="9">
        <v>2.87</v>
      </c>
      <c r="Q21" s="9">
        <v>3.46</v>
      </c>
      <c r="R21" s="9">
        <v>3.18</v>
      </c>
      <c r="S21" s="9"/>
      <c r="T21" s="9"/>
      <c r="U21" s="9"/>
      <c r="V21" s="9"/>
      <c r="W21" s="9"/>
    </row>
    <row r="22" spans="2:23" ht="20" x14ac:dyDescent="0.45">
      <c r="B22" s="2" t="s">
        <v>59</v>
      </c>
      <c r="C22" s="2">
        <v>3.71</v>
      </c>
      <c r="D22" s="2">
        <v>4.1100000000000003</v>
      </c>
      <c r="E22" s="2">
        <v>4.3600000000000003</v>
      </c>
      <c r="F22" s="14">
        <f t="shared" ref="F22:J22" si="7">E22*(1+10%)</f>
        <v>4.7960000000000012</v>
      </c>
      <c r="G22" s="14">
        <f t="shared" si="7"/>
        <v>5.2756000000000016</v>
      </c>
      <c r="H22" s="14">
        <f t="shared" si="7"/>
        <v>5.8031600000000019</v>
      </c>
      <c r="I22" s="14">
        <f t="shared" si="7"/>
        <v>6.3834760000000026</v>
      </c>
      <c r="J22" s="14">
        <f t="shared" si="7"/>
        <v>7.0218236000000038</v>
      </c>
      <c r="K22" s="2"/>
      <c r="L22" s="2"/>
      <c r="N22" s="10" t="s">
        <v>38</v>
      </c>
      <c r="O22" s="9">
        <v>2844.96</v>
      </c>
      <c r="P22" s="9">
        <v>2174.11</v>
      </c>
      <c r="Q22" s="9">
        <v>5.98</v>
      </c>
      <c r="R22" s="9">
        <v>4123.47</v>
      </c>
      <c r="S22" s="9"/>
      <c r="T22" s="9"/>
      <c r="U22" s="9"/>
      <c r="V22" s="9"/>
      <c r="W22" s="9"/>
    </row>
    <row r="23" spans="2:23" ht="20" x14ac:dyDescent="0.4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N23" s="11" t="s">
        <v>45</v>
      </c>
      <c r="O23" s="9">
        <v>268.02999999999997</v>
      </c>
      <c r="P23" s="9">
        <v>263.08999999999997</v>
      </c>
      <c r="Q23" s="9">
        <v>293.52999999999997</v>
      </c>
      <c r="R23" s="9">
        <v>312.74</v>
      </c>
      <c r="S23" s="9"/>
      <c r="T23" s="9"/>
      <c r="U23" s="9"/>
      <c r="V23" s="9"/>
      <c r="W23" s="9"/>
    </row>
    <row r="24" spans="2:23" ht="20" x14ac:dyDescent="0.4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N24" s="10" t="s">
        <v>49</v>
      </c>
      <c r="O24" s="9">
        <v>39.71</v>
      </c>
      <c r="P24" s="9">
        <v>40.299999999999997</v>
      </c>
      <c r="Q24" s="9">
        <v>45.25</v>
      </c>
      <c r="R24" s="9">
        <v>48.94</v>
      </c>
      <c r="S24" s="9"/>
      <c r="T24" s="9"/>
      <c r="U24" s="9"/>
      <c r="V24" s="9"/>
      <c r="W24" s="9"/>
    </row>
    <row r="25" spans="2:23" ht="20" x14ac:dyDescent="0.45">
      <c r="B25" s="8" t="s">
        <v>14</v>
      </c>
      <c r="C25" s="3">
        <v>2019</v>
      </c>
      <c r="D25" s="3">
        <v>2020</v>
      </c>
      <c r="E25" s="3">
        <v>2021</v>
      </c>
      <c r="F25" s="3" t="s">
        <v>15</v>
      </c>
      <c r="G25" s="3" t="s">
        <v>16</v>
      </c>
      <c r="H25" s="3" t="s">
        <v>17</v>
      </c>
      <c r="I25" s="3" t="s">
        <v>18</v>
      </c>
      <c r="J25" s="3" t="s">
        <v>19</v>
      </c>
      <c r="K25" s="2"/>
      <c r="L25" s="2"/>
      <c r="N25" s="11" t="s">
        <v>48</v>
      </c>
      <c r="O25" s="9">
        <v>228.32</v>
      </c>
      <c r="P25" s="9">
        <v>222.79</v>
      </c>
      <c r="Q25" s="9">
        <v>248.27</v>
      </c>
      <c r="R25" s="9">
        <v>263.79000000000002</v>
      </c>
      <c r="S25" s="9"/>
      <c r="T25" s="9"/>
      <c r="U25" s="9"/>
      <c r="V25" s="9"/>
      <c r="W25" s="9"/>
    </row>
    <row r="26" spans="2:23" ht="20" x14ac:dyDescent="0.45">
      <c r="B26" s="2" t="s">
        <v>8</v>
      </c>
      <c r="C26" s="5">
        <f>(P3-O3)/O3</f>
        <v>-0.10101026079070304</v>
      </c>
      <c r="D26" s="5">
        <f>(Q3-P3)/P3</f>
        <v>0.17602069244620133</v>
      </c>
      <c r="E26" s="5">
        <f>(R3-Q3)/Q3</f>
        <v>-2.4138687733157374E-3</v>
      </c>
      <c r="F26" s="5">
        <v>0.1343</v>
      </c>
      <c r="G26" s="5">
        <v>0.1343</v>
      </c>
      <c r="H26" s="5">
        <v>0.1343</v>
      </c>
      <c r="I26" s="5">
        <v>0.1343</v>
      </c>
      <c r="J26" s="5">
        <v>0.1343</v>
      </c>
      <c r="K26" s="2"/>
      <c r="L26" s="2"/>
      <c r="N26" s="10" t="s">
        <v>47</v>
      </c>
      <c r="O26" s="9">
        <v>228.32</v>
      </c>
      <c r="P26" s="9">
        <v>222.8</v>
      </c>
      <c r="Q26" s="9">
        <v>248.28</v>
      </c>
      <c r="R26" s="9">
        <v>263.79000000000002</v>
      </c>
      <c r="S26" s="9"/>
      <c r="T26" s="9"/>
      <c r="U26" s="9"/>
      <c r="V26" s="9"/>
      <c r="W26" s="9"/>
    </row>
    <row r="27" spans="2:23" ht="20" x14ac:dyDescent="0.45">
      <c r="B27" s="2" t="s">
        <v>9</v>
      </c>
      <c r="C27" s="5">
        <f>O9/O4</f>
        <v>0.75718718894548853</v>
      </c>
      <c r="D27" s="5">
        <f>P9/P4</f>
        <v>0.73858346363533667</v>
      </c>
      <c r="E27" s="5">
        <f>Q9/Q4</f>
        <v>0.724182828420463</v>
      </c>
      <c r="F27" s="5">
        <f>R9*(1+16.07%)/(R4*(1+13.43%))</f>
        <v>0.71395696055243607</v>
      </c>
      <c r="G27" s="5">
        <f>S9*(1+16.07%)/(S4*(1+13.43%))</f>
        <v>0.73057378481284718</v>
      </c>
      <c r="H27" s="5">
        <f>T9*(1+16.07%)/(T4*(1+13.43%))</f>
        <v>0.74757735346228649</v>
      </c>
      <c r="I27" s="5">
        <f>U9*(1+16.07%)/(U4*(1+13.43%))</f>
        <v>0.76497666769256456</v>
      </c>
      <c r="J27" s="5">
        <f>V9*(1+16.07%)/(V4*(1+13.43%))</f>
        <v>0.78278093819162453</v>
      </c>
      <c r="K27" s="2"/>
      <c r="L27" s="2"/>
      <c r="N27" s="10" t="s">
        <v>46</v>
      </c>
      <c r="O27" s="9">
        <v>-1690.43</v>
      </c>
      <c r="P27" s="9">
        <v>-28.13</v>
      </c>
      <c r="Q27" s="9">
        <v>-51.8</v>
      </c>
      <c r="R27" s="9">
        <v>-7.14</v>
      </c>
      <c r="S27" s="9"/>
      <c r="T27" s="9"/>
      <c r="U27" s="9"/>
      <c r="V27" s="9"/>
      <c r="W27" s="9"/>
    </row>
    <row r="28" spans="2:23" ht="20" x14ac:dyDescent="0.45">
      <c r="B28" s="2" t="s">
        <v>10</v>
      </c>
      <c r="C28" s="5">
        <f>O12/O4</f>
        <v>2.1562897550953055E-2</v>
      </c>
      <c r="D28" s="5">
        <f>P12/P4</f>
        <v>2.1427000160524141E-2</v>
      </c>
      <c r="E28" s="5">
        <f>Q12/Q4</f>
        <v>1.9156914101729473E-2</v>
      </c>
      <c r="F28" s="5">
        <f>R12*(1+3.39%)/(R4*(1+F26))</f>
        <v>2.0086276610690259E-2</v>
      </c>
      <c r="G28" s="5">
        <f>S12*(1+3.39%)/(S4*(1+G26))</f>
        <v>1.8308385248869487E-2</v>
      </c>
      <c r="H28" s="5">
        <f>T12*(1+3.39%)/(T4*(1+H26))</f>
        <v>1.6687859921366625E-2</v>
      </c>
      <c r="I28" s="5">
        <f>U12*(1+3.39%)/(U4*(1+I26))</f>
        <v>1.5210771729437496E-2</v>
      </c>
      <c r="J28" s="5">
        <f>V12*(1+3.39%)/(V4*(1+J26))</f>
        <v>1.3864424659318902E-2</v>
      </c>
      <c r="K28" s="2"/>
      <c r="L28" s="2"/>
      <c r="N28" s="10" t="s">
        <v>50</v>
      </c>
      <c r="O28" s="9">
        <v>-2.3199999999999998</v>
      </c>
      <c r="P28" s="9">
        <v>1.04</v>
      </c>
      <c r="Q28" s="9">
        <v>1.31</v>
      </c>
      <c r="R28" s="9">
        <v>1.76</v>
      </c>
      <c r="S28" s="9"/>
      <c r="T28" s="9"/>
      <c r="U28" s="9"/>
      <c r="V28" s="9"/>
      <c r="W28" s="9"/>
    </row>
    <row r="29" spans="2:23" ht="20" x14ac:dyDescent="0.45">
      <c r="B29" s="2" t="s">
        <v>11</v>
      </c>
      <c r="C29" s="5">
        <f>O11/O4</f>
        <v>6.1649340764043027E-2</v>
      </c>
      <c r="D29" s="5">
        <f>P11/P4</f>
        <v>7.7545050802917972E-2</v>
      </c>
      <c r="E29" s="5">
        <f>Q11/Q4</f>
        <v>9.2403344890059705E-2</v>
      </c>
      <c r="F29" s="5">
        <f>R11*(1-5.71%)/(R4*(1+F26))</f>
        <v>7.9298434266314027E-2</v>
      </c>
      <c r="G29" s="5">
        <f>S11*(1-5.71%)/(S4*(1+G26))</f>
        <v>6.5917741047084102E-2</v>
      </c>
      <c r="H29" s="5">
        <f>T11*(1-5.71%)/(T4*(1+H26))</f>
        <v>5.4794884980424563E-2</v>
      </c>
      <c r="I29" s="5">
        <f>U11*(1-5.71%)/(U4*(1+I26))</f>
        <v>4.5548882172302137E-2</v>
      </c>
      <c r="J29" s="5">
        <f>V11*(1-5.71%)/(V4*(1+J26))</f>
        <v>3.7863035352432059E-2</v>
      </c>
      <c r="K29" s="2"/>
      <c r="L29" s="2"/>
      <c r="N29" s="10" t="s">
        <v>51</v>
      </c>
      <c r="O29" s="9">
        <v>230.64</v>
      </c>
      <c r="P29" s="9">
        <v>221.75</v>
      </c>
      <c r="Q29" s="9">
        <v>246.97</v>
      </c>
      <c r="R29" s="9">
        <v>262.02999999999997</v>
      </c>
      <c r="S29" s="9"/>
      <c r="T29" s="9"/>
      <c r="U29" s="9"/>
      <c r="V29" s="9"/>
      <c r="W29" s="9"/>
    </row>
    <row r="30" spans="2:23" ht="20" x14ac:dyDescent="0.45">
      <c r="B30" s="2" t="s">
        <v>6</v>
      </c>
      <c r="C30" s="5">
        <v>0</v>
      </c>
      <c r="D30" s="5">
        <v>0</v>
      </c>
      <c r="E30" s="5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2"/>
      <c r="L30" s="2"/>
      <c r="N30" s="11" t="s">
        <v>40</v>
      </c>
      <c r="O30" s="9"/>
      <c r="P30" s="9"/>
      <c r="Q30" s="9"/>
      <c r="R30" s="9"/>
      <c r="S30" s="9"/>
      <c r="T30" s="9"/>
      <c r="U30" s="9"/>
      <c r="V30" s="9"/>
      <c r="W30" s="9"/>
    </row>
    <row r="31" spans="2:23" ht="20" x14ac:dyDescent="0.45">
      <c r="B31" s="2" t="s">
        <v>59</v>
      </c>
      <c r="C31" s="2">
        <v>3.71</v>
      </c>
      <c r="D31" s="2">
        <v>4.1100000000000003</v>
      </c>
      <c r="E31" s="2">
        <v>4.3600000000000003</v>
      </c>
      <c r="F31" s="14">
        <f t="shared" ref="F31:J31" si="8">E31*(1+8%)</f>
        <v>4.708800000000001</v>
      </c>
      <c r="G31" s="14">
        <f t="shared" si="8"/>
        <v>5.0855040000000011</v>
      </c>
      <c r="H31" s="14">
        <f t="shared" si="8"/>
        <v>5.4923443200000017</v>
      </c>
      <c r="I31" s="14">
        <f t="shared" si="8"/>
        <v>5.9317318656000024</v>
      </c>
      <c r="J31" s="14">
        <f t="shared" si="8"/>
        <v>6.4062704148480032</v>
      </c>
      <c r="K31" s="2"/>
      <c r="L31" s="2"/>
      <c r="N31" s="10" t="s">
        <v>41</v>
      </c>
      <c r="O31" s="9">
        <v>4.04</v>
      </c>
      <c r="P31" s="9">
        <v>3.71</v>
      </c>
      <c r="Q31" s="9">
        <v>4.1100000000000003</v>
      </c>
      <c r="R31" s="9">
        <v>4.3600000000000003</v>
      </c>
      <c r="S31" s="9"/>
      <c r="T31" s="9"/>
      <c r="U31" s="9"/>
      <c r="V31" s="9"/>
      <c r="W31" s="9"/>
    </row>
    <row r="32" spans="2:23" ht="20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10" t="s">
        <v>42</v>
      </c>
      <c r="O32" s="9">
        <v>4.04</v>
      </c>
      <c r="P32" s="9">
        <v>3.71</v>
      </c>
      <c r="Q32" s="9">
        <v>4.1100000000000003</v>
      </c>
      <c r="R32" s="9">
        <v>4.3600000000000003</v>
      </c>
      <c r="S32" s="9"/>
      <c r="T32" s="9"/>
      <c r="U32" s="9"/>
      <c r="V32" s="9"/>
      <c r="W32" s="9"/>
    </row>
    <row r="33" spans="2:12" ht="20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ht="20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ht="20" x14ac:dyDescent="0.45">
      <c r="B35" s="2"/>
      <c r="C35" s="6" t="s">
        <v>58</v>
      </c>
      <c r="D35" s="7">
        <v>0.1</v>
      </c>
      <c r="E35" s="6" t="s">
        <v>54</v>
      </c>
      <c r="F35" s="7">
        <v>0.17</v>
      </c>
      <c r="G35" s="6" t="s">
        <v>55</v>
      </c>
      <c r="H35" s="7">
        <v>0.04</v>
      </c>
      <c r="I35" s="6" t="s">
        <v>56</v>
      </c>
      <c r="J35" s="7">
        <v>-0.05</v>
      </c>
      <c r="K35" s="2" t="s">
        <v>60</v>
      </c>
      <c r="L35" s="4">
        <v>0.06</v>
      </c>
    </row>
    <row r="36" spans="2:12" ht="20" x14ac:dyDescent="0.45">
      <c r="B36" s="8" t="s">
        <v>13</v>
      </c>
      <c r="C36" s="3">
        <v>2019</v>
      </c>
      <c r="D36" s="3">
        <v>2020</v>
      </c>
      <c r="E36" s="3">
        <v>2021</v>
      </c>
      <c r="F36" s="3" t="s">
        <v>15</v>
      </c>
      <c r="G36" s="3" t="s">
        <v>16</v>
      </c>
      <c r="H36" s="3" t="s">
        <v>17</v>
      </c>
      <c r="I36" s="3" t="s">
        <v>18</v>
      </c>
      <c r="J36" s="3" t="s">
        <v>19</v>
      </c>
      <c r="K36" s="2"/>
      <c r="L36" s="2"/>
    </row>
    <row r="37" spans="2:12" ht="20" x14ac:dyDescent="0.45">
      <c r="B37" s="2" t="s">
        <v>8</v>
      </c>
      <c r="C37" s="5">
        <f>(P3-O3)/O3</f>
        <v>-0.10101026079070304</v>
      </c>
      <c r="D37" s="5">
        <f>(Q3-P3)/P3</f>
        <v>0.17602069244620133</v>
      </c>
      <c r="E37" s="5">
        <f>(R3-Q3)/Q3</f>
        <v>-2.4138687733157374E-3</v>
      </c>
      <c r="F37" s="5">
        <v>0.1</v>
      </c>
      <c r="G37" s="4">
        <v>0.1</v>
      </c>
      <c r="H37" s="4">
        <v>0.1</v>
      </c>
      <c r="I37" s="4">
        <v>0.1</v>
      </c>
      <c r="J37" s="4">
        <v>0.1</v>
      </c>
      <c r="K37" s="2"/>
      <c r="L37" s="2"/>
    </row>
    <row r="38" spans="2:12" ht="20" x14ac:dyDescent="0.45">
      <c r="B38" s="2" t="s">
        <v>9</v>
      </c>
      <c r="C38" s="5">
        <f>O9/O4</f>
        <v>0.75718718894548853</v>
      </c>
      <c r="D38" s="5">
        <f>P9/P4</f>
        <v>0.73858346363533667</v>
      </c>
      <c r="E38" s="5">
        <f>Q9/Q4</f>
        <v>0.724182828420463</v>
      </c>
      <c r="F38" s="5">
        <f>R9*(1+17%)/(R4*(1+F37))</f>
        <v>0.74211832594352534</v>
      </c>
      <c r="G38" s="5">
        <f>S9*(1+17%)/(S4*(1+G37))</f>
        <v>0.7593905853148637</v>
      </c>
      <c r="H38" s="5">
        <f>T9*(1+17%)/(T4*(1+H37))</f>
        <v>0.77706484384639185</v>
      </c>
      <c r="I38" s="5">
        <f>U9*(1+17%)/(U4*(1+I37))</f>
        <v>0.79515045777352289</v>
      </c>
      <c r="J38" s="5">
        <f>V9*(1+17%)/(V4*(1+J37))</f>
        <v>0.81365700109118211</v>
      </c>
      <c r="K38" s="2"/>
      <c r="L38" s="2"/>
    </row>
    <row r="39" spans="2:12" ht="20" x14ac:dyDescent="0.45">
      <c r="B39" s="2" t="s">
        <v>10</v>
      </c>
      <c r="C39" s="5">
        <f>O12/O4</f>
        <v>2.1562897550953055E-2</v>
      </c>
      <c r="D39" s="5">
        <f>P12/P4</f>
        <v>2.1427000160524141E-2</v>
      </c>
      <c r="E39" s="5">
        <f>Q12/Q4</f>
        <v>1.9156914101729473E-2</v>
      </c>
      <c r="F39" s="5">
        <f>R12*(1+4%)/(R4*(1+F37))</f>
        <v>2.0834807394671719E-2</v>
      </c>
      <c r="G39" s="5">
        <f>S12*(1+4%)/(S4*(1+G37))</f>
        <v>1.8990661522834427E-2</v>
      </c>
      <c r="H39" s="5">
        <f>T12*(1+4%)/(T4*(1+H37))</f>
        <v>1.7309746053476606E-2</v>
      </c>
      <c r="I39" s="5">
        <f>U12*(1+4%)/(U4*(1+I37))</f>
        <v>1.5777613016564808E-2</v>
      </c>
      <c r="J39" s="5">
        <f>V12*(1+4%)/(V4*(1+J37))</f>
        <v>1.4381093271468177E-2</v>
      </c>
      <c r="K39" s="2"/>
      <c r="L39" s="2"/>
    </row>
    <row r="40" spans="2:12" ht="20" x14ac:dyDescent="0.45">
      <c r="B40" s="2" t="s">
        <v>11</v>
      </c>
      <c r="C40" s="5">
        <f>O11/O4</f>
        <v>6.1649340764043027E-2</v>
      </c>
      <c r="D40" s="5">
        <f>P11/P4</f>
        <v>7.7545050802917972E-2</v>
      </c>
      <c r="E40" s="5">
        <f>Q11/Q4</f>
        <v>9.2403344890059705E-2</v>
      </c>
      <c r="F40" s="5">
        <f>R11*(1-5%)/(R4*(1+F37))</f>
        <v>8.2386836827260196E-2</v>
      </c>
      <c r="G40" s="5">
        <f>S11*(1-5%)/(S4*(1+G37))</f>
        <v>6.8485011411816663E-2</v>
      </c>
      <c r="H40" s="5">
        <f>T11*(1-5%)/(T4*(1+H37))</f>
        <v>5.6928958177027172E-2</v>
      </c>
      <c r="I40" s="5">
        <f>U11*(1-5%)/(U4*(1+I37))</f>
        <v>4.7322855210366666E-2</v>
      </c>
      <c r="J40" s="5">
        <f>V11*(1-5%)/(V4*(1+J37))</f>
        <v>3.9337670966988203E-2</v>
      </c>
      <c r="K40" s="2"/>
      <c r="L40" s="2"/>
    </row>
    <row r="41" spans="2:12" ht="20" x14ac:dyDescent="0.45">
      <c r="B41" s="2" t="s">
        <v>6</v>
      </c>
      <c r="C41" s="5">
        <v>0</v>
      </c>
      <c r="D41" s="5">
        <v>0</v>
      </c>
      <c r="E41" s="5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2"/>
      <c r="L41" s="2"/>
    </row>
    <row r="42" spans="2:12" ht="20" x14ac:dyDescent="0.45">
      <c r="B42" s="2" t="s">
        <v>59</v>
      </c>
      <c r="C42" s="2">
        <v>3.71</v>
      </c>
      <c r="D42" s="2">
        <v>4.1100000000000003</v>
      </c>
      <c r="E42" s="2">
        <v>4.3600000000000003</v>
      </c>
      <c r="F42" s="14">
        <f t="shared" ref="F42:J42" si="9">E42*(1+6%)</f>
        <v>4.6216000000000008</v>
      </c>
      <c r="G42" s="14">
        <f t="shared" si="9"/>
        <v>4.8988960000000015</v>
      </c>
      <c r="H42" s="14">
        <f t="shared" si="9"/>
        <v>5.1928297600000022</v>
      </c>
      <c r="I42" s="14">
        <f t="shared" si="9"/>
        <v>5.5043995456000028</v>
      </c>
      <c r="J42" s="14">
        <f t="shared" si="9"/>
        <v>5.8346635183360034</v>
      </c>
      <c r="K42" s="2"/>
      <c r="L42" s="2"/>
    </row>
    <row r="43" spans="2:12" ht="20" x14ac:dyDescent="0.4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ht="20" x14ac:dyDescent="0.4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ht="20" x14ac:dyDescent="0.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ht="20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0886-8DE0-4F13-B5E5-2607048F1E67}">
  <dimension ref="A1:AB74"/>
  <sheetViews>
    <sheetView topLeftCell="S1" zoomScale="70" zoomScaleNormal="70" workbookViewId="0">
      <selection activeCell="N25" sqref="N25"/>
    </sheetView>
  </sheetViews>
  <sheetFormatPr defaultRowHeight="14" x14ac:dyDescent="0.45"/>
  <cols>
    <col min="1" max="1" width="17.5859375" bestFit="1" customWidth="1"/>
    <col min="11" max="11" width="21.29296875" bestFit="1" customWidth="1"/>
    <col min="12" max="12" width="9.8203125" bestFit="1" customWidth="1"/>
    <col min="13" max="13" width="13" bestFit="1" customWidth="1"/>
    <col min="14" max="14" width="17.703125" bestFit="1" customWidth="1"/>
    <col min="15" max="15" width="9" bestFit="1" customWidth="1"/>
    <col min="16" max="18" width="9.46875" bestFit="1" customWidth="1"/>
    <col min="20" max="20" width="21.29296875" bestFit="1" customWidth="1"/>
    <col min="22" max="22" width="13" bestFit="1" customWidth="1"/>
    <col min="23" max="23" width="17.703125" bestFit="1" customWidth="1"/>
  </cols>
  <sheetData>
    <row r="1" spans="1:28" x14ac:dyDescent="0.45">
      <c r="A1" s="24" t="s">
        <v>442</v>
      </c>
      <c r="B1" s="26">
        <v>3.5000000000000003E-2</v>
      </c>
      <c r="D1" s="15" t="s">
        <v>61</v>
      </c>
      <c r="E1" s="51">
        <v>2021</v>
      </c>
      <c r="F1" s="51">
        <v>2020</v>
      </c>
      <c r="G1" s="51">
        <v>2019</v>
      </c>
      <c r="H1" s="51">
        <v>2018</v>
      </c>
      <c r="I1" s="51">
        <v>2017</v>
      </c>
      <c r="K1" s="50" t="s">
        <v>446</v>
      </c>
      <c r="T1" s="50" t="s">
        <v>428</v>
      </c>
    </row>
    <row r="2" spans="1:28" ht="30" x14ac:dyDescent="0.45">
      <c r="A2" s="24" t="s">
        <v>443</v>
      </c>
      <c r="B2" s="39">
        <v>0.03</v>
      </c>
      <c r="D2" s="16" t="s">
        <v>62</v>
      </c>
      <c r="E2" s="17"/>
      <c r="F2" s="17"/>
      <c r="G2" s="17"/>
      <c r="H2" s="17"/>
      <c r="I2" s="17"/>
      <c r="K2" s="38" t="s">
        <v>432</v>
      </c>
      <c r="L2" s="52">
        <v>2020</v>
      </c>
      <c r="M2" s="52">
        <v>2021</v>
      </c>
      <c r="N2" s="42" t="s">
        <v>15</v>
      </c>
      <c r="O2" s="38" t="s">
        <v>16</v>
      </c>
      <c r="P2" s="38" t="s">
        <v>17</v>
      </c>
      <c r="Q2" s="38" t="s">
        <v>18</v>
      </c>
      <c r="R2" s="24" t="s">
        <v>19</v>
      </c>
      <c r="S2" s="41"/>
      <c r="T2" s="38" t="s">
        <v>432</v>
      </c>
      <c r="U2" s="52">
        <v>2020</v>
      </c>
      <c r="V2" s="52">
        <v>2021</v>
      </c>
      <c r="W2" s="42" t="s">
        <v>15</v>
      </c>
      <c r="X2" s="38" t="s">
        <v>16</v>
      </c>
      <c r="Y2" s="38" t="s">
        <v>17</v>
      </c>
      <c r="Z2" s="38" t="s">
        <v>18</v>
      </c>
      <c r="AA2" s="24" t="s">
        <v>19</v>
      </c>
    </row>
    <row r="3" spans="1:28" ht="50" x14ac:dyDescent="0.45">
      <c r="A3" s="24" t="s">
        <v>444</v>
      </c>
      <c r="B3" s="24">
        <v>1.24</v>
      </c>
      <c r="D3" s="18" t="s">
        <v>63</v>
      </c>
      <c r="E3" s="19" t="s">
        <v>390</v>
      </c>
      <c r="F3" s="19" t="s">
        <v>64</v>
      </c>
      <c r="G3" s="19" t="s">
        <v>65</v>
      </c>
      <c r="H3" s="19" t="s">
        <v>66</v>
      </c>
      <c r="I3" s="19" t="s">
        <v>67</v>
      </c>
      <c r="K3" s="38" t="s">
        <v>433</v>
      </c>
      <c r="L3" s="43">
        <v>222.8</v>
      </c>
      <c r="M3" s="38">
        <v>228.3</v>
      </c>
      <c r="N3" s="48">
        <f t="shared" ref="N3:R3" si="0">M3*(1+2.469%)</f>
        <v>233.93672700000005</v>
      </c>
      <c r="O3" s="48">
        <f t="shared" si="0"/>
        <v>239.71262478963007</v>
      </c>
      <c r="P3" s="49">
        <f t="shared" si="0"/>
        <v>245.63112949568605</v>
      </c>
      <c r="Q3" s="49">
        <f t="shared" si="0"/>
        <v>251.69576208293458</v>
      </c>
      <c r="R3" s="49">
        <f t="shared" si="0"/>
        <v>257.91013044876223</v>
      </c>
      <c r="S3" s="47" t="s">
        <v>445</v>
      </c>
      <c r="T3" s="38" t="s">
        <v>433</v>
      </c>
      <c r="U3" s="43">
        <v>222.8</v>
      </c>
      <c r="V3" s="38">
        <v>228.3</v>
      </c>
      <c r="W3" s="48">
        <f>V3*(1+2%)</f>
        <v>232.86600000000001</v>
      </c>
      <c r="X3" s="48">
        <f t="shared" ref="W3:AA3" si="1">W3*(1+2.469%)</f>
        <v>238.61546154000004</v>
      </c>
      <c r="Y3" s="49">
        <f t="shared" si="1"/>
        <v>244.50687728542266</v>
      </c>
      <c r="Z3" s="49">
        <f t="shared" si="1"/>
        <v>250.54375208559978</v>
      </c>
      <c r="AA3" s="49">
        <f t="shared" si="1"/>
        <v>256.72967732459324</v>
      </c>
      <c r="AB3" s="40" t="s">
        <v>448</v>
      </c>
    </row>
    <row r="4" spans="1:28" ht="50" x14ac:dyDescent="0.45">
      <c r="A4" s="24" t="s">
        <v>388</v>
      </c>
      <c r="B4" s="39">
        <v>0.04</v>
      </c>
      <c r="D4" s="18" t="s">
        <v>68</v>
      </c>
      <c r="E4" s="19" t="s">
        <v>69</v>
      </c>
      <c r="F4" s="19" t="s">
        <v>70</v>
      </c>
      <c r="G4" s="19" t="s">
        <v>71</v>
      </c>
      <c r="H4" s="19" t="s">
        <v>72</v>
      </c>
      <c r="I4" s="19" t="s">
        <v>73</v>
      </c>
      <c r="K4" s="38" t="s">
        <v>434</v>
      </c>
      <c r="L4" s="38">
        <v>33.770000000000003</v>
      </c>
      <c r="M4" s="38">
        <v>34.76</v>
      </c>
      <c r="N4" s="38">
        <v>34.265000000000001</v>
      </c>
      <c r="O4" s="38">
        <v>34.265000000000001</v>
      </c>
      <c r="P4" s="24">
        <v>34.265000000000001</v>
      </c>
      <c r="Q4" s="24">
        <v>34.265000000000001</v>
      </c>
      <c r="R4" s="24">
        <v>34.265000000000001</v>
      </c>
      <c r="S4" s="41"/>
      <c r="T4" s="38" t="s">
        <v>434</v>
      </c>
      <c r="U4" s="38">
        <v>33.770000000000003</v>
      </c>
      <c r="V4" s="38">
        <v>34.76</v>
      </c>
      <c r="W4" s="38">
        <v>34.265000000000001</v>
      </c>
      <c r="X4" s="38">
        <v>34.265000000000001</v>
      </c>
      <c r="Y4" s="24">
        <v>34.265000000000001</v>
      </c>
      <c r="Z4" s="24">
        <v>34.265000000000001</v>
      </c>
      <c r="AA4" s="24">
        <v>34.265000000000001</v>
      </c>
    </row>
    <row r="5" spans="1:28" ht="40" x14ac:dyDescent="0.45">
      <c r="A5" s="24" t="s">
        <v>441</v>
      </c>
      <c r="B5" s="26">
        <v>0.109</v>
      </c>
      <c r="D5" s="18" t="s">
        <v>74</v>
      </c>
      <c r="E5" s="19" t="s">
        <v>75</v>
      </c>
      <c r="F5" s="19" t="s">
        <v>75</v>
      </c>
      <c r="G5" s="19" t="s">
        <v>75</v>
      </c>
      <c r="H5" s="19" t="s">
        <v>75</v>
      </c>
      <c r="I5" s="19" t="s">
        <v>76</v>
      </c>
      <c r="K5" s="38" t="s">
        <v>435</v>
      </c>
      <c r="L5" s="38">
        <v>2.113</v>
      </c>
      <c r="M5" s="38">
        <v>1.6830000000000001</v>
      </c>
      <c r="N5" s="38">
        <v>1.8979999999999999</v>
      </c>
      <c r="O5" s="38">
        <v>1.8979999999999999</v>
      </c>
      <c r="P5" s="24">
        <v>1.8979999999999999</v>
      </c>
      <c r="Q5" s="24">
        <v>1.8979999999999999</v>
      </c>
      <c r="R5" s="24">
        <v>1.8979999999999999</v>
      </c>
      <c r="S5" s="41"/>
      <c r="T5" s="38" t="s">
        <v>435</v>
      </c>
      <c r="U5" s="38">
        <v>2.113</v>
      </c>
      <c r="V5" s="38">
        <v>1.6830000000000001</v>
      </c>
      <c r="W5" s="38">
        <v>1.8979999999999999</v>
      </c>
      <c r="X5" s="38">
        <v>1.8979999999999999</v>
      </c>
      <c r="Y5" s="24">
        <v>1.8979999999999999</v>
      </c>
      <c r="Z5" s="24">
        <v>1.8979999999999999</v>
      </c>
      <c r="AA5" s="24">
        <v>1.8979999999999999</v>
      </c>
    </row>
    <row r="6" spans="1:28" ht="50" x14ac:dyDescent="0.45">
      <c r="D6" s="18" t="s">
        <v>77</v>
      </c>
      <c r="E6" s="19" t="s">
        <v>75</v>
      </c>
      <c r="F6" s="19" t="s">
        <v>78</v>
      </c>
      <c r="G6" s="19" t="s">
        <v>79</v>
      </c>
      <c r="H6" s="19" t="s">
        <v>75</v>
      </c>
      <c r="I6" s="19" t="s">
        <v>75</v>
      </c>
      <c r="K6" s="38" t="s">
        <v>436</v>
      </c>
      <c r="L6" s="38">
        <v>-38</v>
      </c>
      <c r="M6" s="38">
        <v>-13</v>
      </c>
      <c r="N6" s="38">
        <v>-25.5</v>
      </c>
      <c r="O6" s="38">
        <v>-25.5</v>
      </c>
      <c r="P6" s="24">
        <v>-25.5</v>
      </c>
      <c r="Q6" s="24">
        <v>-25.5</v>
      </c>
      <c r="R6" s="24">
        <v>-25.5</v>
      </c>
      <c r="S6" s="41"/>
      <c r="T6" s="38" t="s">
        <v>436</v>
      </c>
      <c r="U6" s="38">
        <v>-38</v>
      </c>
      <c r="V6" s="38">
        <v>-13</v>
      </c>
      <c r="W6" s="38">
        <v>-25.5</v>
      </c>
      <c r="X6" s="38">
        <v>-25.5</v>
      </c>
      <c r="Y6" s="24">
        <v>-25.5</v>
      </c>
      <c r="Z6" s="24">
        <v>-25.5</v>
      </c>
      <c r="AA6" s="24">
        <v>-25.5</v>
      </c>
    </row>
    <row r="7" spans="1:28" ht="50" x14ac:dyDescent="0.45">
      <c r="D7" s="18" t="s">
        <v>80</v>
      </c>
      <c r="E7" s="19" t="s">
        <v>81</v>
      </c>
      <c r="F7" s="19" t="s">
        <v>82</v>
      </c>
      <c r="G7" s="19" t="s">
        <v>83</v>
      </c>
      <c r="H7" s="19" t="s">
        <v>84</v>
      </c>
      <c r="I7" s="19" t="s">
        <v>85</v>
      </c>
      <c r="K7" s="38" t="s">
        <v>437</v>
      </c>
      <c r="L7" s="38">
        <v>43.29</v>
      </c>
      <c r="M7" s="38">
        <v>57.27</v>
      </c>
      <c r="N7" s="38">
        <v>50.28</v>
      </c>
      <c r="O7" s="38">
        <v>50.28</v>
      </c>
      <c r="P7" s="24">
        <v>50.28</v>
      </c>
      <c r="Q7" s="24">
        <v>50.28</v>
      </c>
      <c r="R7" s="24">
        <v>50.28</v>
      </c>
      <c r="S7" s="41"/>
      <c r="T7" s="38" t="s">
        <v>437</v>
      </c>
      <c r="U7" s="38">
        <v>43.29</v>
      </c>
      <c r="V7" s="38">
        <v>57.27</v>
      </c>
      <c r="W7" s="38">
        <v>50.28</v>
      </c>
      <c r="X7" s="38">
        <v>50.28</v>
      </c>
      <c r="Y7" s="24">
        <v>50.28</v>
      </c>
      <c r="Z7" s="24">
        <v>50.28</v>
      </c>
      <c r="AA7" s="24">
        <v>50.28</v>
      </c>
    </row>
    <row r="8" spans="1:28" ht="40" x14ac:dyDescent="0.45">
      <c r="D8" s="18" t="s">
        <v>86</v>
      </c>
      <c r="E8" s="19" t="s">
        <v>87</v>
      </c>
      <c r="F8" s="19" t="s">
        <v>88</v>
      </c>
      <c r="G8" s="19" t="s">
        <v>89</v>
      </c>
      <c r="H8" s="19" t="s">
        <v>75</v>
      </c>
      <c r="I8" s="19" t="s">
        <v>75</v>
      </c>
      <c r="K8" s="38" t="s">
        <v>438</v>
      </c>
      <c r="L8" s="38">
        <f t="shared" ref="L8:M8" si="2">L3+L4+L5-L6-L7</f>
        <v>253.393</v>
      </c>
      <c r="M8" s="48">
        <f t="shared" ref="M8:R8" si="3">M3+M4+M5-M6-M7</f>
        <v>220.47299999999998</v>
      </c>
      <c r="N8" s="48">
        <f t="shared" si="3"/>
        <v>245.31972700000009</v>
      </c>
      <c r="O8" s="48">
        <f>O3+O4+O5-O6-O7</f>
        <v>251.09562478963008</v>
      </c>
      <c r="P8" s="31">
        <f t="shared" si="3"/>
        <v>257.01412949568612</v>
      </c>
      <c r="Q8" s="31">
        <f t="shared" si="3"/>
        <v>263.07876208293465</v>
      </c>
      <c r="R8" s="31">
        <f t="shared" si="3"/>
        <v>269.29313044876221</v>
      </c>
      <c r="S8" s="41"/>
      <c r="T8" s="38" t="s">
        <v>438</v>
      </c>
      <c r="U8" s="38">
        <f t="shared" ref="U8" si="4">U3+U4+U5-U6-U7</f>
        <v>253.393</v>
      </c>
      <c r="V8" s="48">
        <f t="shared" ref="V8" si="5">V3+V4+V5-V6-V7</f>
        <v>220.47299999999998</v>
      </c>
      <c r="W8" s="48">
        <f t="shared" ref="W8" si="6">W3+W4+W5-W6-W7</f>
        <v>244.24900000000005</v>
      </c>
      <c r="X8" s="48">
        <f>X3+X4+X5-X6-X7</f>
        <v>249.99846154000008</v>
      </c>
      <c r="Y8" s="31">
        <f t="shared" ref="Y8" si="7">Y3+Y4+Y5-Y6-Y7</f>
        <v>255.88987728542267</v>
      </c>
      <c r="Z8" s="31">
        <f t="shared" ref="Z8" si="8">Z3+Z4+Z5-Z6-Z7</f>
        <v>261.92675208559979</v>
      </c>
      <c r="AA8" s="31">
        <f t="shared" ref="AA8" si="9">AA3+AA4+AA5-AA6-AA7</f>
        <v>268.11267732459328</v>
      </c>
    </row>
    <row r="9" spans="1:28" ht="30" x14ac:dyDescent="0.45">
      <c r="D9" s="18" t="s">
        <v>90</v>
      </c>
      <c r="E9" s="19" t="s">
        <v>91</v>
      </c>
      <c r="F9" s="19" t="s">
        <v>92</v>
      </c>
      <c r="G9" s="19" t="s">
        <v>93</v>
      </c>
      <c r="H9" s="19" t="s">
        <v>94</v>
      </c>
      <c r="I9" s="19" t="s">
        <v>95</v>
      </c>
      <c r="K9" s="38" t="s">
        <v>439</v>
      </c>
      <c r="L9" s="44">
        <v>0.109</v>
      </c>
      <c r="M9" s="45"/>
      <c r="N9" s="45"/>
      <c r="O9" s="45"/>
      <c r="P9" s="45"/>
      <c r="Q9" s="45"/>
      <c r="R9" s="46"/>
      <c r="S9" s="41"/>
      <c r="T9" s="38" t="s">
        <v>439</v>
      </c>
      <c r="U9" s="44">
        <v>0.12</v>
      </c>
      <c r="V9" s="45"/>
      <c r="W9" s="45"/>
      <c r="X9" s="45"/>
      <c r="Y9" s="45"/>
      <c r="Z9" s="45"/>
      <c r="AA9" s="46"/>
    </row>
    <row r="10" spans="1:28" ht="50" x14ac:dyDescent="0.45">
      <c r="D10" s="18" t="s">
        <v>96</v>
      </c>
      <c r="E10" s="19" t="s">
        <v>97</v>
      </c>
      <c r="F10" s="19" t="s">
        <v>98</v>
      </c>
      <c r="G10" s="19" t="s">
        <v>99</v>
      </c>
      <c r="H10" s="19" t="s">
        <v>100</v>
      </c>
      <c r="I10" s="19" t="s">
        <v>101</v>
      </c>
      <c r="K10" s="38" t="s">
        <v>440</v>
      </c>
      <c r="L10" s="48">
        <f t="shared" ref="L10:R10" si="10">L8/(1+10.9%)</f>
        <v>228.48782687105501</v>
      </c>
      <c r="M10" s="48">
        <f t="shared" si="10"/>
        <v>198.80342651036969</v>
      </c>
      <c r="N10" s="48">
        <f t="shared" si="10"/>
        <v>221.20804959422912</v>
      </c>
      <c r="O10" s="48">
        <f t="shared" si="10"/>
        <v>226.41625319173136</v>
      </c>
      <c r="P10" s="31">
        <f t="shared" si="10"/>
        <v>231.75304733605603</v>
      </c>
      <c r="Q10" s="31">
        <f t="shared" si="10"/>
        <v>237.221606927804</v>
      </c>
      <c r="R10" s="31">
        <f t="shared" si="10"/>
        <v>242.82518525587216</v>
      </c>
      <c r="S10" s="41"/>
      <c r="T10" s="38" t="s">
        <v>440</v>
      </c>
      <c r="U10" s="48">
        <f t="shared" ref="U10:AA10" si="11">U8/(1+10.9%)</f>
        <v>228.48782687105501</v>
      </c>
      <c r="V10" s="48">
        <f t="shared" ref="V10:AA10" si="12">V8/(1+15%)</f>
        <v>191.71565217391304</v>
      </c>
      <c r="W10" s="48">
        <f t="shared" si="12"/>
        <v>212.39043478260876</v>
      </c>
      <c r="X10" s="48">
        <f t="shared" si="12"/>
        <v>217.38996655652181</v>
      </c>
      <c r="Y10" s="31">
        <f t="shared" si="12"/>
        <v>222.51293676993276</v>
      </c>
      <c r="Z10" s="31">
        <f t="shared" si="12"/>
        <v>227.76239311791286</v>
      </c>
      <c r="AA10" s="31">
        <f t="shared" si="12"/>
        <v>233.1414585431246</v>
      </c>
    </row>
    <row r="11" spans="1:28" ht="20" x14ac:dyDescent="0.45">
      <c r="D11" s="16" t="s">
        <v>102</v>
      </c>
      <c r="E11" s="19" t="s">
        <v>103</v>
      </c>
      <c r="F11" s="19" t="s">
        <v>104</v>
      </c>
      <c r="G11" s="19" t="s">
        <v>105</v>
      </c>
      <c r="H11" s="19" t="s">
        <v>106</v>
      </c>
      <c r="I11" s="19" t="s">
        <v>107</v>
      </c>
    </row>
    <row r="12" spans="1:28" ht="50" x14ac:dyDescent="0.45">
      <c r="D12" s="18" t="s">
        <v>108</v>
      </c>
      <c r="E12" s="19" t="s">
        <v>109</v>
      </c>
      <c r="F12" s="19" t="s">
        <v>110</v>
      </c>
      <c r="G12" s="19" t="s">
        <v>111</v>
      </c>
      <c r="H12" s="19" t="s">
        <v>112</v>
      </c>
      <c r="I12" s="19" t="s">
        <v>113</v>
      </c>
      <c r="K12" s="53" t="s">
        <v>449</v>
      </c>
      <c r="L12">
        <f>R10/(10.9%-4%)</f>
        <v>3519.2055834184366</v>
      </c>
      <c r="M12" t="s">
        <v>450</v>
      </c>
      <c r="N12" s="54">
        <f>L12+N10+O10+P10+Q10+R10</f>
        <v>4678.6297257241295</v>
      </c>
      <c r="T12" s="53" t="s">
        <v>449</v>
      </c>
      <c r="U12">
        <f>AA10/(12%-4%)</f>
        <v>2914.2682317890581</v>
      </c>
      <c r="V12" t="s">
        <v>450</v>
      </c>
      <c r="W12" s="54">
        <f>U12+W10+X10+Y10+Z10+AA10</f>
        <v>4027.465421559159</v>
      </c>
    </row>
    <row r="13" spans="1:28" ht="40" x14ac:dyDescent="0.45">
      <c r="D13" s="18" t="s">
        <v>114</v>
      </c>
      <c r="E13" s="19" t="s">
        <v>115</v>
      </c>
      <c r="F13" s="19" t="s">
        <v>116</v>
      </c>
      <c r="G13" s="19" t="s">
        <v>117</v>
      </c>
      <c r="H13" s="19" t="s">
        <v>118</v>
      </c>
      <c r="I13" s="19" t="s">
        <v>119</v>
      </c>
      <c r="K13" s="50" t="s">
        <v>422</v>
      </c>
    </row>
    <row r="14" spans="1:28" ht="50" x14ac:dyDescent="0.45">
      <c r="D14" s="18" t="s">
        <v>120</v>
      </c>
      <c r="E14" s="19" t="s">
        <v>121</v>
      </c>
      <c r="F14" s="19" t="s">
        <v>122</v>
      </c>
      <c r="G14" s="19" t="s">
        <v>123</v>
      </c>
      <c r="H14" s="19" t="s">
        <v>124</v>
      </c>
      <c r="I14" s="19" t="s">
        <v>125</v>
      </c>
      <c r="K14" s="38" t="s">
        <v>432</v>
      </c>
      <c r="L14" s="52">
        <v>2020</v>
      </c>
      <c r="M14" s="52">
        <v>2021</v>
      </c>
      <c r="N14" s="42" t="s">
        <v>15</v>
      </c>
      <c r="O14" s="38" t="s">
        <v>16</v>
      </c>
      <c r="P14" s="38" t="s">
        <v>17</v>
      </c>
      <c r="Q14" s="38" t="s">
        <v>18</v>
      </c>
      <c r="R14" s="24" t="s">
        <v>19</v>
      </c>
    </row>
    <row r="15" spans="1:28" ht="50" x14ac:dyDescent="0.45">
      <c r="D15" s="18" t="s">
        <v>126</v>
      </c>
      <c r="E15" s="19" t="s">
        <v>127</v>
      </c>
      <c r="F15" s="19" t="s">
        <v>128</v>
      </c>
      <c r="G15" s="19" t="s">
        <v>129</v>
      </c>
      <c r="H15" s="19" t="s">
        <v>130</v>
      </c>
      <c r="I15" s="19" t="s">
        <v>131</v>
      </c>
      <c r="K15" s="38" t="s">
        <v>433</v>
      </c>
      <c r="L15" s="43">
        <v>222.8</v>
      </c>
      <c r="M15" s="38">
        <v>228.3</v>
      </c>
      <c r="N15" s="48">
        <f>M15*(1+3%)</f>
        <v>235.14900000000003</v>
      </c>
      <c r="O15" s="48">
        <f t="shared" ref="N15:R15" si="13">N15*(1+2.469%)</f>
        <v>240.95482881000007</v>
      </c>
      <c r="P15" s="49">
        <f t="shared" si="13"/>
        <v>246.90400353331898</v>
      </c>
      <c r="Q15" s="49">
        <f t="shared" si="13"/>
        <v>253.00006338055667</v>
      </c>
      <c r="R15" s="49">
        <f t="shared" si="13"/>
        <v>259.24663494542261</v>
      </c>
      <c r="S15" s="40" t="s">
        <v>447</v>
      </c>
    </row>
    <row r="16" spans="1:28" ht="50" x14ac:dyDescent="0.45">
      <c r="D16" s="18" t="s">
        <v>132</v>
      </c>
      <c r="E16" s="19" t="s">
        <v>133</v>
      </c>
      <c r="F16" s="19" t="s">
        <v>134</v>
      </c>
      <c r="G16" s="19" t="s">
        <v>135</v>
      </c>
      <c r="H16" s="19" t="s">
        <v>136</v>
      </c>
      <c r="I16" s="19" t="s">
        <v>137</v>
      </c>
      <c r="K16" s="38" t="s">
        <v>434</v>
      </c>
      <c r="L16" s="38">
        <v>33.770000000000003</v>
      </c>
      <c r="M16" s="38">
        <v>34.76</v>
      </c>
      <c r="N16" s="38">
        <v>34.265000000000001</v>
      </c>
      <c r="O16" s="38">
        <v>34.265000000000001</v>
      </c>
      <c r="P16" s="24">
        <v>34.265000000000001</v>
      </c>
      <c r="Q16" s="24">
        <v>34.265000000000001</v>
      </c>
      <c r="R16" s="24">
        <v>34.265000000000001</v>
      </c>
    </row>
    <row r="17" spans="4:18" ht="30" x14ac:dyDescent="0.45">
      <c r="D17" s="18" t="s">
        <v>138</v>
      </c>
      <c r="E17" s="19" t="s">
        <v>139</v>
      </c>
      <c r="F17" s="19" t="s">
        <v>140</v>
      </c>
      <c r="G17" s="19" t="s">
        <v>141</v>
      </c>
      <c r="H17" s="19" t="s">
        <v>142</v>
      </c>
      <c r="I17" s="19" t="s">
        <v>143</v>
      </c>
      <c r="K17" s="38" t="s">
        <v>435</v>
      </c>
      <c r="L17" s="38">
        <v>2.113</v>
      </c>
      <c r="M17" s="38">
        <v>1.6830000000000001</v>
      </c>
      <c r="N17" s="38">
        <v>1.8979999999999999</v>
      </c>
      <c r="O17" s="38">
        <v>1.8979999999999999</v>
      </c>
      <c r="P17" s="24">
        <v>1.8979999999999999</v>
      </c>
      <c r="Q17" s="24">
        <v>1.8979999999999999</v>
      </c>
      <c r="R17" s="24">
        <v>1.8979999999999999</v>
      </c>
    </row>
    <row r="18" spans="4:18" ht="50" x14ac:dyDescent="0.45">
      <c r="D18" s="18" t="s">
        <v>144</v>
      </c>
      <c r="E18" s="19" t="s">
        <v>145</v>
      </c>
      <c r="F18" s="19" t="s">
        <v>146</v>
      </c>
      <c r="G18" s="19" t="s">
        <v>147</v>
      </c>
      <c r="H18" s="19" t="s">
        <v>148</v>
      </c>
      <c r="I18" s="19" t="s">
        <v>149</v>
      </c>
      <c r="K18" s="38" t="s">
        <v>436</v>
      </c>
      <c r="L18" s="38">
        <v>-38</v>
      </c>
      <c r="M18" s="38">
        <v>-13</v>
      </c>
      <c r="N18" s="38">
        <v>-25.5</v>
      </c>
      <c r="O18" s="38">
        <v>-25.5</v>
      </c>
      <c r="P18" s="24">
        <v>-25.5</v>
      </c>
      <c r="Q18" s="24">
        <v>-25.5</v>
      </c>
      <c r="R18" s="24">
        <v>-25.5</v>
      </c>
    </row>
    <row r="19" spans="4:18" ht="20" x14ac:dyDescent="0.45">
      <c r="D19" s="16" t="s">
        <v>150</v>
      </c>
      <c r="E19" s="19" t="s">
        <v>151</v>
      </c>
      <c r="F19" s="19" t="s">
        <v>152</v>
      </c>
      <c r="G19" s="19" t="s">
        <v>153</v>
      </c>
      <c r="H19" s="19" t="s">
        <v>154</v>
      </c>
      <c r="I19" s="19" t="s">
        <v>155</v>
      </c>
      <c r="K19" s="38" t="s">
        <v>437</v>
      </c>
      <c r="L19" s="38">
        <v>43.29</v>
      </c>
      <c r="M19" s="38">
        <v>57.27</v>
      </c>
      <c r="N19" s="38">
        <v>50.28</v>
      </c>
      <c r="O19" s="38">
        <v>50.28</v>
      </c>
      <c r="P19" s="24">
        <v>50.28</v>
      </c>
      <c r="Q19" s="24">
        <v>50.28</v>
      </c>
      <c r="R19" s="24">
        <v>50.28</v>
      </c>
    </row>
    <row r="20" spans="4:18" ht="30" x14ac:dyDescent="0.45">
      <c r="D20" s="16" t="s">
        <v>156</v>
      </c>
      <c r="E20" s="19">
        <v>18.940000000000001</v>
      </c>
      <c r="F20" s="19">
        <v>192.4</v>
      </c>
      <c r="G20" s="19">
        <v>278.89999999999998</v>
      </c>
      <c r="H20" s="19">
        <v>269.39999999999998</v>
      </c>
      <c r="I20" s="19">
        <v>163.4</v>
      </c>
      <c r="K20" s="38" t="s">
        <v>438</v>
      </c>
      <c r="L20" s="38">
        <f t="shared" ref="L20" si="14">L15+L16+L17-L18-L19</f>
        <v>253.393</v>
      </c>
      <c r="M20" s="48">
        <f t="shared" ref="M20" si="15">M15+M16+M17-M18-M19</f>
        <v>220.47299999999998</v>
      </c>
      <c r="N20" s="48">
        <f t="shared" ref="N20" si="16">N15+N16+N17-N18-N19</f>
        <v>246.53200000000007</v>
      </c>
      <c r="O20" s="48">
        <f>O15+O16+O17-O18-O19</f>
        <v>252.3378288100001</v>
      </c>
      <c r="P20" s="31">
        <f t="shared" ref="P20" si="17">P15+P16+P17-P18-P19</f>
        <v>258.28700353331897</v>
      </c>
      <c r="Q20" s="31">
        <f t="shared" ref="Q20" si="18">Q15+Q16+Q17-Q18-Q19</f>
        <v>264.38306338055668</v>
      </c>
      <c r="R20" s="31">
        <f t="shared" ref="R20" si="19">R15+R16+R17-R18-R19</f>
        <v>270.62963494542259</v>
      </c>
    </row>
    <row r="21" spans="4:18" ht="30" x14ac:dyDescent="0.45">
      <c r="D21" s="16" t="s">
        <v>157</v>
      </c>
      <c r="E21" s="19"/>
      <c r="F21" s="19"/>
      <c r="G21" s="19"/>
      <c r="H21" s="19"/>
      <c r="I21" s="19"/>
      <c r="K21" s="38" t="s">
        <v>439</v>
      </c>
      <c r="L21" s="44">
        <v>9.5000000000000001E-2</v>
      </c>
      <c r="M21" s="45"/>
      <c r="N21" s="45"/>
      <c r="O21" s="45"/>
      <c r="P21" s="45"/>
      <c r="Q21" s="45"/>
      <c r="R21" s="46"/>
    </row>
    <row r="22" spans="4:18" ht="30" x14ac:dyDescent="0.45">
      <c r="D22" s="18" t="s">
        <v>158</v>
      </c>
      <c r="E22" s="19" t="s">
        <v>159</v>
      </c>
      <c r="F22" s="19" t="s">
        <v>160</v>
      </c>
      <c r="G22" s="19" t="s">
        <v>161</v>
      </c>
      <c r="H22" s="19" t="s">
        <v>162</v>
      </c>
      <c r="I22" s="19" t="s">
        <v>163</v>
      </c>
      <c r="K22" s="38" t="s">
        <v>440</v>
      </c>
      <c r="L22" s="48">
        <f t="shared" ref="L22:R22" si="20">L20/(1+10.9%)</f>
        <v>228.48782687105501</v>
      </c>
      <c r="M22" s="48">
        <f t="shared" ref="M22:R22" si="21">M20/(1+8%)</f>
        <v>204.14166666666665</v>
      </c>
      <c r="N22" s="48">
        <f t="shared" si="21"/>
        <v>228.27037037037042</v>
      </c>
      <c r="O22" s="48">
        <f t="shared" si="21"/>
        <v>233.64613778703711</v>
      </c>
      <c r="P22" s="31">
        <f t="shared" si="21"/>
        <v>239.15463290122125</v>
      </c>
      <c r="Q22" s="31">
        <f t="shared" si="21"/>
        <v>244.79913275977469</v>
      </c>
      <c r="R22" s="31">
        <f t="shared" si="21"/>
        <v>250.58299531983573</v>
      </c>
    </row>
    <row r="23" spans="4:18" ht="40" x14ac:dyDescent="0.45">
      <c r="D23" s="18" t="s">
        <v>164</v>
      </c>
      <c r="E23" s="19" t="s">
        <v>165</v>
      </c>
      <c r="F23" s="19" t="s">
        <v>166</v>
      </c>
      <c r="G23" s="19" t="s">
        <v>167</v>
      </c>
      <c r="H23" s="19" t="s">
        <v>168</v>
      </c>
      <c r="I23" s="19" t="s">
        <v>169</v>
      </c>
    </row>
    <row r="24" spans="4:18" ht="90" x14ac:dyDescent="0.45">
      <c r="D24" s="18" t="s">
        <v>170</v>
      </c>
      <c r="E24" s="19" t="s">
        <v>171</v>
      </c>
      <c r="F24" s="19" t="s">
        <v>172</v>
      </c>
      <c r="G24" s="19" t="s">
        <v>173</v>
      </c>
      <c r="H24" s="19" t="s">
        <v>174</v>
      </c>
      <c r="I24" s="19" t="s">
        <v>175</v>
      </c>
      <c r="K24" s="53" t="s">
        <v>449</v>
      </c>
      <c r="L24">
        <f>R22/(9.5%-4%)</f>
        <v>4556.0544603606495</v>
      </c>
      <c r="M24" t="s">
        <v>450</v>
      </c>
      <c r="N24" s="54">
        <f>L24+N22+O22+P22+Q22+R22</f>
        <v>5752.5077294988887</v>
      </c>
    </row>
    <row r="25" spans="4:18" ht="60" x14ac:dyDescent="0.45">
      <c r="D25" s="18" t="s">
        <v>176</v>
      </c>
      <c r="E25" s="19" t="s">
        <v>177</v>
      </c>
      <c r="F25" s="19" t="s">
        <v>75</v>
      </c>
      <c r="G25" s="19" t="s">
        <v>75</v>
      </c>
      <c r="H25" s="19" t="s">
        <v>75</v>
      </c>
      <c r="I25" s="19" t="s">
        <v>75</v>
      </c>
    </row>
    <row r="26" spans="4:18" ht="50" x14ac:dyDescent="0.45">
      <c r="D26" s="18" t="s">
        <v>178</v>
      </c>
      <c r="E26" s="19" t="s">
        <v>179</v>
      </c>
      <c r="F26" s="19" t="s">
        <v>180</v>
      </c>
      <c r="G26" s="19" t="s">
        <v>181</v>
      </c>
      <c r="H26" s="19" t="s">
        <v>182</v>
      </c>
      <c r="I26" s="19" t="s">
        <v>183</v>
      </c>
    </row>
    <row r="27" spans="4:18" ht="20" x14ac:dyDescent="0.45">
      <c r="D27" s="16" t="s">
        <v>184</v>
      </c>
      <c r="E27" s="19">
        <v>553.9</v>
      </c>
      <c r="F27" s="19">
        <v>141.6</v>
      </c>
      <c r="G27" s="19">
        <v>84.46</v>
      </c>
      <c r="H27" s="19">
        <v>99.49</v>
      </c>
      <c r="I27" s="19">
        <v>40.03</v>
      </c>
    </row>
    <row r="28" spans="4:18" ht="80" x14ac:dyDescent="0.45">
      <c r="D28" s="18" t="s">
        <v>185</v>
      </c>
      <c r="E28" s="19" t="s">
        <v>186</v>
      </c>
      <c r="F28" s="19" t="s">
        <v>187</v>
      </c>
      <c r="G28" s="19" t="s">
        <v>188</v>
      </c>
      <c r="H28" s="19" t="s">
        <v>189</v>
      </c>
      <c r="I28" s="19" t="s">
        <v>190</v>
      </c>
    </row>
    <row r="29" spans="4:18" ht="30" x14ac:dyDescent="0.45">
      <c r="D29" s="18" t="s">
        <v>191</v>
      </c>
      <c r="E29" s="19" t="s">
        <v>192</v>
      </c>
      <c r="F29" s="19" t="s">
        <v>193</v>
      </c>
      <c r="G29" s="19" t="s">
        <v>194</v>
      </c>
      <c r="H29" s="19" t="s">
        <v>195</v>
      </c>
      <c r="I29" s="19" t="s">
        <v>196</v>
      </c>
    </row>
    <row r="30" spans="4:18" ht="70" x14ac:dyDescent="0.45">
      <c r="D30" s="18" t="s">
        <v>197</v>
      </c>
      <c r="E30" s="19" t="s">
        <v>198</v>
      </c>
      <c r="F30" s="19" t="s">
        <v>199</v>
      </c>
      <c r="G30" s="19" t="s">
        <v>200</v>
      </c>
      <c r="H30" s="19" t="s">
        <v>201</v>
      </c>
      <c r="I30" s="19" t="s">
        <v>75</v>
      </c>
    </row>
    <row r="31" spans="4:18" ht="50" x14ac:dyDescent="0.45">
      <c r="D31" s="18" t="s">
        <v>202</v>
      </c>
      <c r="E31" s="19" t="s">
        <v>203</v>
      </c>
      <c r="F31" s="19" t="s">
        <v>204</v>
      </c>
      <c r="G31" s="19" t="s">
        <v>205</v>
      </c>
      <c r="H31" s="19" t="s">
        <v>206</v>
      </c>
      <c r="I31" s="19" t="s">
        <v>207</v>
      </c>
    </row>
    <row r="32" spans="4:18" ht="20" x14ac:dyDescent="0.45">
      <c r="D32" s="16" t="s">
        <v>208</v>
      </c>
      <c r="E32" s="19">
        <v>256.39999999999998</v>
      </c>
      <c r="F32" s="19">
        <v>140.6</v>
      </c>
      <c r="G32" s="19">
        <v>197.2</v>
      </c>
      <c r="H32" s="19">
        <v>317.89999999999998</v>
      </c>
      <c r="I32" s="19">
        <v>662.6</v>
      </c>
    </row>
    <row r="33" spans="4:9" ht="30" x14ac:dyDescent="0.45">
      <c r="D33" s="16" t="s">
        <v>209</v>
      </c>
      <c r="E33" s="19">
        <f>E27-E32</f>
        <v>297.5</v>
      </c>
      <c r="F33" s="19">
        <f>F27-F32</f>
        <v>1</v>
      </c>
      <c r="G33" s="19">
        <f>G27-G32</f>
        <v>-112.74</v>
      </c>
      <c r="H33" s="19">
        <f>H27-H32</f>
        <v>-218.40999999999997</v>
      </c>
      <c r="I33" s="19">
        <f>I27-I32</f>
        <v>-622.57000000000005</v>
      </c>
    </row>
    <row r="34" spans="4:9" ht="30" x14ac:dyDescent="0.45">
      <c r="D34" s="16" t="s">
        <v>210</v>
      </c>
      <c r="E34" s="19"/>
      <c r="F34" s="19"/>
      <c r="G34" s="19"/>
      <c r="H34" s="19"/>
      <c r="I34" s="19"/>
    </row>
    <row r="35" spans="4:9" ht="30" x14ac:dyDescent="0.45">
      <c r="D35" s="18" t="s">
        <v>211</v>
      </c>
      <c r="E35" s="19" t="s">
        <v>212</v>
      </c>
      <c r="F35" s="19" t="s">
        <v>213</v>
      </c>
      <c r="G35" s="19" t="s">
        <v>214</v>
      </c>
      <c r="H35" s="19" t="s">
        <v>75</v>
      </c>
      <c r="I35" s="19" t="s">
        <v>215</v>
      </c>
    </row>
    <row r="36" spans="4:9" ht="60" x14ac:dyDescent="0.45">
      <c r="D36" s="18" t="s">
        <v>216</v>
      </c>
      <c r="E36" s="19" t="s">
        <v>212</v>
      </c>
      <c r="F36" s="19" t="s">
        <v>213</v>
      </c>
      <c r="G36" s="19" t="s">
        <v>214</v>
      </c>
      <c r="H36" s="19" t="s">
        <v>75</v>
      </c>
      <c r="I36" s="19" t="s">
        <v>215</v>
      </c>
    </row>
    <row r="37" spans="4:9" ht="30" x14ac:dyDescent="0.45">
      <c r="D37" s="18" t="s">
        <v>217</v>
      </c>
      <c r="E37" s="19" t="s">
        <v>218</v>
      </c>
      <c r="F37" s="19" t="s">
        <v>219</v>
      </c>
      <c r="G37" s="19" t="s">
        <v>220</v>
      </c>
      <c r="H37" s="19" t="s">
        <v>221</v>
      </c>
      <c r="I37" s="19" t="s">
        <v>222</v>
      </c>
    </row>
    <row r="38" spans="4:9" ht="50" x14ac:dyDescent="0.45">
      <c r="D38" s="18" t="s">
        <v>223</v>
      </c>
      <c r="E38" s="19" t="s">
        <v>224</v>
      </c>
      <c r="F38" s="19" t="s">
        <v>75</v>
      </c>
      <c r="G38" s="19" t="s">
        <v>75</v>
      </c>
      <c r="H38" s="19" t="s">
        <v>225</v>
      </c>
      <c r="I38" s="19" t="s">
        <v>226</v>
      </c>
    </row>
    <row r="39" spans="4:9" ht="20" x14ac:dyDescent="0.45">
      <c r="D39" s="16" t="s">
        <v>227</v>
      </c>
      <c r="E39" s="19" t="s">
        <v>228</v>
      </c>
      <c r="F39" s="19" t="s">
        <v>229</v>
      </c>
      <c r="G39" s="19" t="s">
        <v>230</v>
      </c>
      <c r="H39" s="19" t="s">
        <v>231</v>
      </c>
      <c r="I39" s="19" t="s">
        <v>232</v>
      </c>
    </row>
    <row r="40" spans="4:9" ht="40" x14ac:dyDescent="0.45">
      <c r="D40" s="18" t="s">
        <v>233</v>
      </c>
      <c r="E40" s="19" t="s">
        <v>234</v>
      </c>
      <c r="F40" s="19" t="s">
        <v>235</v>
      </c>
      <c r="G40" s="19" t="s">
        <v>236</v>
      </c>
      <c r="H40" s="19" t="s">
        <v>237</v>
      </c>
      <c r="I40" s="19" t="s">
        <v>238</v>
      </c>
    </row>
    <row r="41" spans="4:9" ht="60" x14ac:dyDescent="0.45">
      <c r="D41" s="18" t="s">
        <v>239</v>
      </c>
      <c r="E41" s="19" t="s">
        <v>240</v>
      </c>
      <c r="F41" s="19" t="s">
        <v>241</v>
      </c>
      <c r="G41" s="19" t="s">
        <v>242</v>
      </c>
      <c r="H41" s="19" t="s">
        <v>243</v>
      </c>
      <c r="I41" s="19" t="s">
        <v>244</v>
      </c>
    </row>
    <row r="42" spans="4:9" ht="60" x14ac:dyDescent="0.45">
      <c r="D42" s="18" t="s">
        <v>245</v>
      </c>
      <c r="E42" s="19" t="s">
        <v>75</v>
      </c>
      <c r="F42" s="19" t="s">
        <v>246</v>
      </c>
      <c r="G42" s="19" t="s">
        <v>75</v>
      </c>
      <c r="H42" s="19" t="s">
        <v>75</v>
      </c>
      <c r="I42" s="19" t="s">
        <v>75</v>
      </c>
    </row>
    <row r="43" spans="4:9" ht="50" x14ac:dyDescent="0.45">
      <c r="D43" s="18" t="s">
        <v>247</v>
      </c>
      <c r="E43" s="19" t="s">
        <v>248</v>
      </c>
      <c r="F43" s="19" t="s">
        <v>249</v>
      </c>
      <c r="G43" s="19" t="s">
        <v>75</v>
      </c>
      <c r="H43" s="19" t="s">
        <v>250</v>
      </c>
      <c r="I43" s="19" t="s">
        <v>75</v>
      </c>
    </row>
    <row r="44" spans="4:9" ht="20" x14ac:dyDescent="0.45">
      <c r="D44" s="16" t="s">
        <v>251</v>
      </c>
      <c r="E44" s="19" t="s">
        <v>252</v>
      </c>
      <c r="F44" s="19" t="s">
        <v>253</v>
      </c>
      <c r="G44" s="19" t="s">
        <v>254</v>
      </c>
      <c r="H44" s="19" t="s">
        <v>255</v>
      </c>
      <c r="I44" s="19" t="s">
        <v>256</v>
      </c>
    </row>
    <row r="45" spans="4:9" ht="30" x14ac:dyDescent="0.45">
      <c r="D45" s="16" t="s">
        <v>257</v>
      </c>
      <c r="E45" s="19" t="s">
        <v>258</v>
      </c>
      <c r="F45" s="19" t="s">
        <v>259</v>
      </c>
      <c r="G45" s="19" t="s">
        <v>260</v>
      </c>
      <c r="H45" s="19" t="s">
        <v>261</v>
      </c>
      <c r="I45" s="19" t="s">
        <v>262</v>
      </c>
    </row>
    <row r="46" spans="4:9" ht="40" x14ac:dyDescent="0.45">
      <c r="D46" s="16" t="s">
        <v>263</v>
      </c>
      <c r="E46" s="19" t="s">
        <v>264</v>
      </c>
      <c r="F46" s="19" t="s">
        <v>265</v>
      </c>
      <c r="G46" s="19" t="s">
        <v>266</v>
      </c>
      <c r="H46" s="19" t="s">
        <v>267</v>
      </c>
      <c r="I46" s="19" t="s">
        <v>268</v>
      </c>
    </row>
    <row r="47" spans="4:9" ht="30" x14ac:dyDescent="0.45">
      <c r="D47" s="16" t="s">
        <v>269</v>
      </c>
      <c r="E47" s="19" t="s">
        <v>186</v>
      </c>
      <c r="F47" s="19" t="s">
        <v>270</v>
      </c>
      <c r="G47" s="19" t="s">
        <v>271</v>
      </c>
      <c r="H47" s="19" t="s">
        <v>272</v>
      </c>
      <c r="I47" s="19" t="s">
        <v>273</v>
      </c>
    </row>
    <row r="48" spans="4:9" ht="50" x14ac:dyDescent="0.45">
      <c r="D48" s="18" t="s">
        <v>274</v>
      </c>
      <c r="E48" s="19" t="s">
        <v>237</v>
      </c>
      <c r="F48" s="19" t="s">
        <v>275</v>
      </c>
      <c r="G48" s="19" t="s">
        <v>276</v>
      </c>
      <c r="H48" s="19" t="s">
        <v>277</v>
      </c>
      <c r="I48" s="19" t="s">
        <v>278</v>
      </c>
    </row>
    <row r="49" spans="4:9" ht="30" x14ac:dyDescent="0.45">
      <c r="D49" s="16" t="s">
        <v>279</v>
      </c>
      <c r="E49" s="19" t="s">
        <v>280</v>
      </c>
      <c r="F49" s="19" t="s">
        <v>237</v>
      </c>
      <c r="G49" s="19" t="s">
        <v>275</v>
      </c>
      <c r="H49" s="19" t="s">
        <v>276</v>
      </c>
      <c r="I49" s="19" t="s">
        <v>277</v>
      </c>
    </row>
    <row r="50" spans="4:9" x14ac:dyDescent="0.45">
      <c r="D50" s="16" t="s">
        <v>281</v>
      </c>
      <c r="E50" s="19"/>
      <c r="F50" s="19"/>
      <c r="G50" s="19"/>
      <c r="H50" s="19"/>
      <c r="I50" s="19"/>
    </row>
    <row r="51" spans="4:9" x14ac:dyDescent="0.45">
      <c r="D51" s="18" t="s">
        <v>39</v>
      </c>
      <c r="E51" s="19" t="s">
        <v>282</v>
      </c>
      <c r="F51" s="19" t="s">
        <v>283</v>
      </c>
      <c r="G51" s="19" t="s">
        <v>284</v>
      </c>
      <c r="H51" s="19" t="s">
        <v>285</v>
      </c>
      <c r="I51" s="19" t="s">
        <v>286</v>
      </c>
    </row>
    <row r="52" spans="4:9" ht="20" x14ac:dyDescent="0.45">
      <c r="D52" s="18" t="s">
        <v>287</v>
      </c>
      <c r="E52" s="19" t="s">
        <v>288</v>
      </c>
      <c r="F52" s="19" t="s">
        <v>289</v>
      </c>
      <c r="G52" s="19" t="s">
        <v>290</v>
      </c>
      <c r="H52" s="19" t="s">
        <v>291</v>
      </c>
      <c r="I52" s="19" t="s">
        <v>292</v>
      </c>
    </row>
    <row r="53" spans="4:9" ht="50" x14ac:dyDescent="0.45">
      <c r="D53" s="18" t="s">
        <v>293</v>
      </c>
      <c r="E53" s="19" t="s">
        <v>294</v>
      </c>
      <c r="F53" s="19" t="s">
        <v>295</v>
      </c>
      <c r="G53" s="19" t="s">
        <v>296</v>
      </c>
      <c r="H53" s="19" t="s">
        <v>297</v>
      </c>
      <c r="I53" s="19" t="s">
        <v>298</v>
      </c>
    </row>
    <row r="54" spans="4:9" ht="90" x14ac:dyDescent="0.45">
      <c r="D54" s="18" t="s">
        <v>299</v>
      </c>
      <c r="E54" s="19" t="s">
        <v>294</v>
      </c>
      <c r="F54" s="19" t="s">
        <v>295</v>
      </c>
      <c r="G54" s="19" t="s">
        <v>296</v>
      </c>
      <c r="H54" s="19" t="s">
        <v>297</v>
      </c>
      <c r="I54" s="19" t="s">
        <v>298</v>
      </c>
    </row>
    <row r="55" spans="4:9" ht="20" x14ac:dyDescent="0.45">
      <c r="D55" s="18" t="s">
        <v>300</v>
      </c>
      <c r="E55" s="19" t="s">
        <v>301</v>
      </c>
      <c r="F55" s="19" t="s">
        <v>302</v>
      </c>
      <c r="G55" s="19" t="s">
        <v>303</v>
      </c>
      <c r="H55" s="19" t="s">
        <v>304</v>
      </c>
      <c r="I55" s="19" t="s">
        <v>305</v>
      </c>
    </row>
    <row r="56" spans="4:9" ht="30" x14ac:dyDescent="0.45">
      <c r="D56" s="18" t="s">
        <v>306</v>
      </c>
      <c r="E56" s="19" t="s">
        <v>75</v>
      </c>
      <c r="F56" s="19" t="s">
        <v>75</v>
      </c>
      <c r="G56" s="19" t="s">
        <v>307</v>
      </c>
      <c r="H56" s="19" t="s">
        <v>308</v>
      </c>
      <c r="I56" s="19" t="s">
        <v>309</v>
      </c>
    </row>
    <row r="57" spans="4:9" ht="20" x14ac:dyDescent="0.45">
      <c r="D57" s="18" t="s">
        <v>310</v>
      </c>
      <c r="E57" s="19" t="s">
        <v>75</v>
      </c>
      <c r="F57" s="19" t="s">
        <v>75</v>
      </c>
      <c r="G57" s="19" t="s">
        <v>311</v>
      </c>
      <c r="H57" s="19" t="s">
        <v>312</v>
      </c>
      <c r="I57" s="19" t="s">
        <v>313</v>
      </c>
    </row>
    <row r="58" spans="4:9" ht="70" x14ac:dyDescent="0.45">
      <c r="D58" s="18" t="s">
        <v>314</v>
      </c>
      <c r="E58" s="19" t="s">
        <v>315</v>
      </c>
      <c r="F58" s="19" t="s">
        <v>316</v>
      </c>
      <c r="G58" s="19" t="s">
        <v>317</v>
      </c>
      <c r="H58" s="19" t="s">
        <v>318</v>
      </c>
      <c r="I58" s="19" t="s">
        <v>319</v>
      </c>
    </row>
    <row r="59" spans="4:9" ht="30" x14ac:dyDescent="0.45">
      <c r="D59" s="18" t="s">
        <v>320</v>
      </c>
      <c r="E59" s="19" t="s">
        <v>321</v>
      </c>
      <c r="F59" s="19" t="s">
        <v>322</v>
      </c>
      <c r="G59" s="19" t="s">
        <v>323</v>
      </c>
      <c r="H59" s="19" t="s">
        <v>324</v>
      </c>
      <c r="I59" s="19" t="s">
        <v>325</v>
      </c>
    </row>
    <row r="60" spans="4:9" ht="30" x14ac:dyDescent="0.45">
      <c r="D60" s="18" t="s">
        <v>326</v>
      </c>
      <c r="E60" s="19" t="s">
        <v>327</v>
      </c>
      <c r="F60" s="19" t="s">
        <v>328</v>
      </c>
      <c r="G60" s="19" t="s">
        <v>329</v>
      </c>
      <c r="H60" s="19" t="s">
        <v>330</v>
      </c>
      <c r="I60" s="19" t="s">
        <v>331</v>
      </c>
    </row>
    <row r="61" spans="4:9" ht="20" x14ac:dyDescent="0.45">
      <c r="D61" s="18" t="s">
        <v>24</v>
      </c>
      <c r="E61" s="19" t="s">
        <v>332</v>
      </c>
      <c r="F61" s="19" t="s">
        <v>333</v>
      </c>
      <c r="G61" s="19" t="s">
        <v>334</v>
      </c>
      <c r="H61" s="19" t="s">
        <v>335</v>
      </c>
      <c r="I61" s="19" t="s">
        <v>336</v>
      </c>
    </row>
    <row r="62" spans="4:9" ht="20" x14ac:dyDescent="0.45">
      <c r="D62" s="18" t="s">
        <v>337</v>
      </c>
      <c r="E62" s="19" t="s">
        <v>338</v>
      </c>
      <c r="F62" s="19" t="s">
        <v>339</v>
      </c>
      <c r="G62" s="19" t="s">
        <v>340</v>
      </c>
      <c r="H62" s="19" t="s">
        <v>341</v>
      </c>
      <c r="I62" s="19" t="s">
        <v>342</v>
      </c>
    </row>
    <row r="63" spans="4:9" ht="20" x14ac:dyDescent="0.45">
      <c r="D63" s="18" t="s">
        <v>343</v>
      </c>
      <c r="E63" s="19" t="s">
        <v>344</v>
      </c>
      <c r="F63" s="19" t="s">
        <v>345</v>
      </c>
      <c r="G63" s="19" t="s">
        <v>346</v>
      </c>
      <c r="H63" s="19" t="s">
        <v>347</v>
      </c>
      <c r="I63" s="19" t="s">
        <v>348</v>
      </c>
    </row>
    <row r="64" spans="4:9" ht="40" x14ac:dyDescent="0.45">
      <c r="D64" s="18" t="s">
        <v>349</v>
      </c>
      <c r="E64" s="19" t="s">
        <v>350</v>
      </c>
      <c r="F64" s="19" t="s">
        <v>351</v>
      </c>
      <c r="G64" s="19" t="s">
        <v>352</v>
      </c>
      <c r="H64" s="19" t="s">
        <v>353</v>
      </c>
      <c r="I64" s="19" t="s">
        <v>354</v>
      </c>
    </row>
    <row r="65" spans="4:9" ht="30" x14ac:dyDescent="0.45">
      <c r="D65" s="18" t="s">
        <v>355</v>
      </c>
      <c r="E65" s="19" t="s">
        <v>356</v>
      </c>
      <c r="F65" s="19" t="s">
        <v>357</v>
      </c>
      <c r="G65" s="19" t="s">
        <v>358</v>
      </c>
      <c r="H65" s="19" t="s">
        <v>359</v>
      </c>
      <c r="I65" s="19" t="s">
        <v>360</v>
      </c>
    </row>
    <row r="66" spans="4:9" ht="20" x14ac:dyDescent="0.45">
      <c r="D66" s="18" t="s">
        <v>361</v>
      </c>
      <c r="E66" s="19" t="s">
        <v>362</v>
      </c>
      <c r="F66" s="19" t="s">
        <v>363</v>
      </c>
      <c r="G66" s="19" t="s">
        <v>364</v>
      </c>
      <c r="H66" s="19" t="s">
        <v>365</v>
      </c>
      <c r="I66" s="19" t="s">
        <v>366</v>
      </c>
    </row>
    <row r="67" spans="4:9" ht="40" x14ac:dyDescent="0.45">
      <c r="D67" s="18" t="s">
        <v>367</v>
      </c>
      <c r="E67" s="19" t="s">
        <v>368</v>
      </c>
      <c r="F67" s="19" t="s">
        <v>369</v>
      </c>
      <c r="G67" s="19" t="s">
        <v>370</v>
      </c>
      <c r="H67" s="19" t="s">
        <v>371</v>
      </c>
      <c r="I67" s="19" t="s">
        <v>372</v>
      </c>
    </row>
    <row r="68" spans="4:9" ht="40" x14ac:dyDescent="0.45">
      <c r="D68" s="18" t="s">
        <v>373</v>
      </c>
      <c r="E68" s="19" t="s">
        <v>374</v>
      </c>
      <c r="F68" s="19" t="s">
        <v>375</v>
      </c>
      <c r="G68" s="19" t="s">
        <v>376</v>
      </c>
      <c r="H68" s="19" t="s">
        <v>377</v>
      </c>
      <c r="I68" s="19" t="s">
        <v>378</v>
      </c>
    </row>
    <row r="69" spans="4:9" x14ac:dyDescent="0.45">
      <c r="D69" s="18" t="s">
        <v>379</v>
      </c>
      <c r="E69" s="19" t="s">
        <v>380</v>
      </c>
      <c r="F69" s="19" t="s">
        <v>381</v>
      </c>
      <c r="G69" s="19" t="s">
        <v>382</v>
      </c>
      <c r="H69" s="19" t="s">
        <v>383</v>
      </c>
      <c r="I69" s="19" t="s">
        <v>384</v>
      </c>
    </row>
    <row r="70" spans="4:9" ht="30" x14ac:dyDescent="0.45">
      <c r="D70" s="16" t="s">
        <v>156</v>
      </c>
      <c r="E70" s="19">
        <v>18.940000000000001</v>
      </c>
      <c r="F70" s="19">
        <v>192.4</v>
      </c>
      <c r="G70" s="19">
        <v>278.89999999999998</v>
      </c>
      <c r="H70" s="19">
        <v>269.39999999999998</v>
      </c>
      <c r="I70" s="19">
        <v>163.4</v>
      </c>
    </row>
    <row r="71" spans="4:9" ht="30" x14ac:dyDescent="0.45">
      <c r="D71" s="18" t="s">
        <v>385</v>
      </c>
      <c r="E71" s="19" t="s">
        <v>280</v>
      </c>
      <c r="F71" s="19" t="s">
        <v>237</v>
      </c>
      <c r="G71" s="19" t="s">
        <v>275</v>
      </c>
      <c r="H71" s="19" t="s">
        <v>276</v>
      </c>
      <c r="I71" s="19" t="s">
        <v>277</v>
      </c>
    </row>
    <row r="72" spans="4:9" ht="30" x14ac:dyDescent="0.45">
      <c r="D72" s="18" t="s">
        <v>386</v>
      </c>
      <c r="E72" s="19" t="s">
        <v>237</v>
      </c>
      <c r="F72" s="19" t="s">
        <v>275</v>
      </c>
      <c r="G72" s="19" t="s">
        <v>276</v>
      </c>
      <c r="H72" s="19" t="s">
        <v>277</v>
      </c>
      <c r="I72" s="19" t="s">
        <v>278</v>
      </c>
    </row>
    <row r="73" spans="4:9" ht="30" x14ac:dyDescent="0.45">
      <c r="D73" s="16" t="s">
        <v>387</v>
      </c>
      <c r="E73" s="19" t="s">
        <v>186</v>
      </c>
      <c r="F73" s="19" t="s">
        <v>270</v>
      </c>
      <c r="G73" s="19" t="s">
        <v>271</v>
      </c>
      <c r="H73" s="19" t="s">
        <v>272</v>
      </c>
      <c r="I73" s="19" t="s">
        <v>273</v>
      </c>
    </row>
    <row r="74" spans="4:9" x14ac:dyDescent="0.45">
      <c r="D74" s="19" t="s">
        <v>389</v>
      </c>
      <c r="E74" s="19">
        <f>E70+E33</f>
        <v>316.44</v>
      </c>
      <c r="F74" s="19">
        <f>F70+F33</f>
        <v>193.4</v>
      </c>
      <c r="G74" s="37">
        <f>G70+G33</f>
        <v>166.15999999999997</v>
      </c>
      <c r="H74" s="37">
        <f>H70+H33</f>
        <v>50.990000000000009</v>
      </c>
      <c r="I74" s="37">
        <f>I70+I33</f>
        <v>-459.17000000000007</v>
      </c>
    </row>
  </sheetData>
  <mergeCells count="3">
    <mergeCell ref="L9:R9"/>
    <mergeCell ref="L21:R21"/>
    <mergeCell ref="U9:AA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EB86-EBB7-4690-82ED-16CAA5FB5657}">
  <dimension ref="A1:R22"/>
  <sheetViews>
    <sheetView zoomScale="85" zoomScaleNormal="85" workbookViewId="0">
      <selection activeCell="J26" sqref="J26"/>
    </sheetView>
  </sheetViews>
  <sheetFormatPr defaultRowHeight="14" x14ac:dyDescent="0.45"/>
  <cols>
    <col min="11" max="11" width="12.87890625" bestFit="1" customWidth="1"/>
    <col min="12" max="12" width="8.64453125" customWidth="1"/>
    <col min="17" max="17" width="20.3515625" bestFit="1" customWidth="1"/>
  </cols>
  <sheetData>
    <row r="1" spans="1:18" x14ac:dyDescent="0.45">
      <c r="A1" s="20">
        <v>44561</v>
      </c>
      <c r="B1" s="21" t="s">
        <v>391</v>
      </c>
      <c r="C1" s="21" t="s">
        <v>424</v>
      </c>
      <c r="D1" s="21" t="s">
        <v>392</v>
      </c>
      <c r="E1" s="21" t="s">
        <v>393</v>
      </c>
      <c r="F1" s="21" t="s">
        <v>394</v>
      </c>
      <c r="G1" s="21" t="s">
        <v>421</v>
      </c>
      <c r="H1" s="21" t="s">
        <v>395</v>
      </c>
      <c r="I1" s="21" t="s">
        <v>396</v>
      </c>
      <c r="K1" s="30" t="s">
        <v>427</v>
      </c>
      <c r="L1" s="25" t="s">
        <v>15</v>
      </c>
      <c r="M1" s="24" t="s">
        <v>16</v>
      </c>
      <c r="N1" s="24" t="s">
        <v>17</v>
      </c>
      <c r="O1" s="24" t="s">
        <v>18</v>
      </c>
      <c r="P1" s="24" t="s">
        <v>19</v>
      </c>
    </row>
    <row r="2" spans="1:18" x14ac:dyDescent="0.45">
      <c r="A2" s="33" t="s">
        <v>399</v>
      </c>
      <c r="B2" s="22" t="s">
        <v>400</v>
      </c>
      <c r="C2" s="22">
        <v>1317</v>
      </c>
      <c r="D2" s="23">
        <v>0.70109999999999995</v>
      </c>
      <c r="E2" s="22" t="s">
        <v>401</v>
      </c>
      <c r="F2" s="23">
        <v>0.63670000000000004</v>
      </c>
      <c r="G2" s="22">
        <v>411.4</v>
      </c>
      <c r="H2" s="23">
        <v>0.90180000000000005</v>
      </c>
      <c r="I2" s="23">
        <v>0.31230000000000002</v>
      </c>
      <c r="K2" s="28" t="s">
        <v>429</v>
      </c>
      <c r="L2" s="31">
        <f>G2*(1+1.69%)</f>
        <v>418.35265999999996</v>
      </c>
      <c r="M2" s="31">
        <f t="shared" ref="M2:P2" si="0">L2*(1+1.69%)</f>
        <v>425.42281995399992</v>
      </c>
      <c r="N2" s="31">
        <f t="shared" si="0"/>
        <v>432.61246561122249</v>
      </c>
      <c r="O2" s="31">
        <f t="shared" si="0"/>
        <v>439.9236162800521</v>
      </c>
      <c r="P2" s="31">
        <f t="shared" si="0"/>
        <v>447.35832539518492</v>
      </c>
      <c r="Q2" s="29" t="s">
        <v>423</v>
      </c>
      <c r="R2" s="26">
        <v>1.6899999999999998E-2</v>
      </c>
    </row>
    <row r="3" spans="1:18" x14ac:dyDescent="0.45">
      <c r="A3" s="34"/>
      <c r="B3" s="22" t="s">
        <v>397</v>
      </c>
      <c r="C3" s="22">
        <v>430.3</v>
      </c>
      <c r="D3" s="23">
        <v>0.22900000000000001</v>
      </c>
      <c r="E3" s="22" t="s">
        <v>398</v>
      </c>
      <c r="F3" s="23">
        <v>0.2898</v>
      </c>
      <c r="G3" s="22">
        <v>17.98</v>
      </c>
      <c r="H3" s="23">
        <v>3.9399999999999998E-2</v>
      </c>
      <c r="I3" s="23">
        <v>4.1799999999999997E-2</v>
      </c>
      <c r="K3" s="28" t="s">
        <v>430</v>
      </c>
      <c r="L3" s="31">
        <f>G8*(1+1.59%)</f>
        <v>2.5560044</v>
      </c>
      <c r="M3" s="31">
        <f t="shared" ref="M3:P3" si="1">L3*(1+1.59%)</f>
        <v>2.59664486996</v>
      </c>
      <c r="N3" s="31">
        <f t="shared" si="1"/>
        <v>2.6379315233923641</v>
      </c>
      <c r="O3" s="31">
        <f t="shared" si="1"/>
        <v>2.6798746346143028</v>
      </c>
      <c r="P3" s="31">
        <f t="shared" si="1"/>
        <v>2.7224846413046704</v>
      </c>
      <c r="Q3" s="29" t="s">
        <v>426</v>
      </c>
      <c r="R3" s="26">
        <v>1.5900000000000001E-2</v>
      </c>
    </row>
    <row r="4" spans="1:18" x14ac:dyDescent="0.45">
      <c r="A4" s="34"/>
      <c r="B4" s="22" t="s">
        <v>402</v>
      </c>
      <c r="C4" s="22">
        <v>48.82</v>
      </c>
      <c r="D4" s="23">
        <v>2.5999999999999999E-2</v>
      </c>
      <c r="E4" s="22" t="s">
        <v>403</v>
      </c>
      <c r="F4" s="23">
        <v>2.29E-2</v>
      </c>
      <c r="G4" s="22">
        <v>16.190000000000001</v>
      </c>
      <c r="H4" s="23">
        <v>3.5499999999999997E-2</v>
      </c>
      <c r="I4" s="23">
        <v>0.33160000000000001</v>
      </c>
      <c r="K4" s="28" t="s">
        <v>431</v>
      </c>
      <c r="L4" s="32">
        <f>G4*(1+12.54%)</f>
        <v>18.220226</v>
      </c>
      <c r="M4" s="31">
        <f t="shared" ref="M4:P4" si="2">L4*(1+12.54%)</f>
        <v>20.505042340399999</v>
      </c>
      <c r="N4" s="31">
        <f t="shared" si="2"/>
        <v>23.076374649886159</v>
      </c>
      <c r="O4" s="31">
        <f t="shared" si="2"/>
        <v>25.970152030981883</v>
      </c>
      <c r="P4" s="31">
        <f t="shared" si="2"/>
        <v>29.226809095667008</v>
      </c>
      <c r="Q4" s="29" t="s">
        <v>425</v>
      </c>
      <c r="R4" s="26">
        <v>0.12540000000000001</v>
      </c>
    </row>
    <row r="5" spans="1:18" x14ac:dyDescent="0.45">
      <c r="A5" s="34"/>
      <c r="B5" s="22" t="s">
        <v>404</v>
      </c>
      <c r="C5" s="22">
        <v>31.95</v>
      </c>
      <c r="D5" s="23">
        <v>1.7000000000000001E-2</v>
      </c>
      <c r="E5" s="22" t="s">
        <v>405</v>
      </c>
      <c r="F5" s="23">
        <v>1.83E-2</v>
      </c>
      <c r="G5" s="22">
        <v>5.9</v>
      </c>
      <c r="H5" s="23">
        <v>1.29E-2</v>
      </c>
      <c r="I5" s="23">
        <v>0.1847</v>
      </c>
    </row>
    <row r="6" spans="1:18" x14ac:dyDescent="0.45">
      <c r="A6" s="34"/>
      <c r="B6" s="22" t="s">
        <v>406</v>
      </c>
      <c r="C6" s="22">
        <v>29.07</v>
      </c>
      <c r="D6" s="23">
        <v>1.55E-2</v>
      </c>
      <c r="E6" s="22" t="s">
        <v>407</v>
      </c>
      <c r="F6" s="23">
        <v>1.9199999999999998E-2</v>
      </c>
      <c r="G6" s="22">
        <v>1.7769999999999999</v>
      </c>
      <c r="H6" s="23">
        <v>3.8999999999999998E-3</v>
      </c>
      <c r="I6" s="23">
        <v>6.1100000000000002E-2</v>
      </c>
    </row>
    <row r="7" spans="1:18" x14ac:dyDescent="0.45">
      <c r="A7" s="34"/>
      <c r="B7" s="22" t="s">
        <v>379</v>
      </c>
      <c r="C7" s="22">
        <v>12.87</v>
      </c>
      <c r="D7" s="23">
        <v>6.7999999999999996E-3</v>
      </c>
      <c r="E7" s="22" t="s">
        <v>408</v>
      </c>
      <c r="F7" s="23">
        <v>8.6999999999999994E-3</v>
      </c>
      <c r="G7" s="22">
        <v>0.44700000000000001</v>
      </c>
      <c r="H7" s="23">
        <v>1E-3</v>
      </c>
      <c r="I7" s="23">
        <v>3.4700000000000002E-2</v>
      </c>
    </row>
    <row r="8" spans="1:18" x14ac:dyDescent="0.45">
      <c r="A8" s="35"/>
      <c r="B8" s="22" t="s">
        <v>409</v>
      </c>
      <c r="C8" s="22">
        <v>8.577</v>
      </c>
      <c r="D8" s="23">
        <v>4.5999999999999999E-3</v>
      </c>
      <c r="E8" s="22" t="s">
        <v>410</v>
      </c>
      <c r="F8" s="23">
        <v>4.3E-3</v>
      </c>
      <c r="G8" s="22">
        <v>2.516</v>
      </c>
      <c r="H8" s="23">
        <v>5.4999999999999997E-3</v>
      </c>
      <c r="I8" s="23">
        <v>0.29339999999999999</v>
      </c>
    </row>
    <row r="10" spans="1:18" x14ac:dyDescent="0.45">
      <c r="A10" s="20">
        <v>44196</v>
      </c>
      <c r="B10" s="21" t="s">
        <v>391</v>
      </c>
      <c r="C10" s="21" t="s">
        <v>424</v>
      </c>
      <c r="D10" s="21" t="s">
        <v>392</v>
      </c>
      <c r="E10" s="21" t="s">
        <v>393</v>
      </c>
      <c r="F10" s="21" t="s">
        <v>394</v>
      </c>
      <c r="G10" s="21" t="s">
        <v>421</v>
      </c>
      <c r="H10" s="21" t="s">
        <v>395</v>
      </c>
      <c r="I10" s="21" t="s">
        <v>396</v>
      </c>
      <c r="K10" s="27" t="s">
        <v>422</v>
      </c>
      <c r="L10" s="25" t="s">
        <v>15</v>
      </c>
      <c r="M10" s="24" t="s">
        <v>16</v>
      </c>
      <c r="N10" s="24" t="s">
        <v>17</v>
      </c>
      <c r="O10" s="24" t="s">
        <v>18</v>
      </c>
      <c r="P10" s="24" t="s">
        <v>19</v>
      </c>
    </row>
    <row r="11" spans="1:18" x14ac:dyDescent="0.45">
      <c r="A11" s="36" t="s">
        <v>399</v>
      </c>
      <c r="B11" s="22" t="s">
        <v>400</v>
      </c>
      <c r="C11" s="22">
        <v>1179</v>
      </c>
      <c r="D11" s="23">
        <v>0.70079999999999998</v>
      </c>
      <c r="E11" s="22" t="s">
        <v>411</v>
      </c>
      <c r="F11" s="23">
        <v>0.62329999999999997</v>
      </c>
      <c r="G11" s="22">
        <v>404.5</v>
      </c>
      <c r="H11" s="23">
        <v>0.92</v>
      </c>
      <c r="I11" s="23">
        <v>0.34320000000000001</v>
      </c>
      <c r="K11" s="24" t="s">
        <v>429</v>
      </c>
      <c r="L11" s="31">
        <f>G2*(1+2.5%)</f>
        <v>421.68499999999995</v>
      </c>
      <c r="M11" s="31">
        <f t="shared" ref="M11:P11" si="3">L11*(1+2.5%)</f>
        <v>432.22712499999989</v>
      </c>
      <c r="N11" s="31">
        <f t="shared" si="3"/>
        <v>443.03280312499987</v>
      </c>
      <c r="O11" s="31">
        <f t="shared" si="3"/>
        <v>454.10862320312481</v>
      </c>
      <c r="P11" s="31">
        <f t="shared" si="3"/>
        <v>465.4613387832029</v>
      </c>
      <c r="Q11" s="29" t="s">
        <v>423</v>
      </c>
      <c r="R11" s="26">
        <v>2.5000000000000001E-2</v>
      </c>
    </row>
    <row r="12" spans="1:18" x14ac:dyDescent="0.45">
      <c r="A12" s="36"/>
      <c r="B12" s="22" t="s">
        <v>397</v>
      </c>
      <c r="C12" s="22">
        <v>377.7</v>
      </c>
      <c r="D12" s="23">
        <v>0.22459999999999999</v>
      </c>
      <c r="E12" s="22" t="s">
        <v>412</v>
      </c>
      <c r="F12" s="23">
        <v>0.2923</v>
      </c>
      <c r="G12" s="22">
        <v>14.64</v>
      </c>
      <c r="H12" s="23">
        <v>3.3300000000000003E-2</v>
      </c>
      <c r="I12" s="23">
        <v>3.8699999999999998E-2</v>
      </c>
      <c r="K12" s="24" t="s">
        <v>430</v>
      </c>
      <c r="L12" s="31">
        <f>G8*(1+2%)</f>
        <v>2.5663200000000002</v>
      </c>
      <c r="M12" s="31">
        <f t="shared" ref="M12:P12" si="4">L12*(1+2%)</f>
        <v>2.6176464000000004</v>
      </c>
      <c r="N12" s="31">
        <f t="shared" si="4"/>
        <v>2.6699993280000003</v>
      </c>
      <c r="O12" s="31">
        <f t="shared" si="4"/>
        <v>2.7233993145600004</v>
      </c>
      <c r="P12" s="31">
        <f t="shared" si="4"/>
        <v>2.7778673008512005</v>
      </c>
      <c r="Q12" s="29" t="s">
        <v>426</v>
      </c>
      <c r="R12" s="26">
        <v>0.02</v>
      </c>
    </row>
    <row r="13" spans="1:18" x14ac:dyDescent="0.45">
      <c r="A13" s="36"/>
      <c r="B13" s="22" t="s">
        <v>379</v>
      </c>
      <c r="C13" s="22">
        <v>72.33</v>
      </c>
      <c r="D13" s="23">
        <v>4.2999999999999997E-2</v>
      </c>
      <c r="E13" s="22" t="s">
        <v>413</v>
      </c>
      <c r="F13" s="23">
        <v>5.4800000000000001E-2</v>
      </c>
      <c r="G13" s="22">
        <v>4.2930000000000001</v>
      </c>
      <c r="H13" s="23">
        <v>9.7999999999999997E-3</v>
      </c>
      <c r="I13" s="23">
        <v>5.9400000000000001E-2</v>
      </c>
      <c r="K13" s="24" t="s">
        <v>431</v>
      </c>
      <c r="L13" s="31">
        <f>G4*(1+14%)</f>
        <v>18.456600000000005</v>
      </c>
      <c r="M13" s="31">
        <f t="shared" ref="M13:P13" si="5">L13*(1+14%)</f>
        <v>21.040524000000008</v>
      </c>
      <c r="N13" s="31">
        <f t="shared" si="5"/>
        <v>23.986197360000013</v>
      </c>
      <c r="O13" s="31">
        <f t="shared" si="5"/>
        <v>27.344264990400017</v>
      </c>
      <c r="P13" s="31">
        <f t="shared" si="5"/>
        <v>31.172462089056022</v>
      </c>
      <c r="Q13" s="29" t="s">
        <v>425</v>
      </c>
      <c r="R13" s="26">
        <v>0.14000000000000001</v>
      </c>
    </row>
    <row r="14" spans="1:18" x14ac:dyDescent="0.45">
      <c r="A14" s="36"/>
      <c r="B14" s="22" t="s">
        <v>402</v>
      </c>
      <c r="C14" s="22">
        <v>45.22</v>
      </c>
      <c r="D14" s="23">
        <v>2.69E-2</v>
      </c>
      <c r="E14" s="22" t="s">
        <v>414</v>
      </c>
      <c r="F14" s="23">
        <v>2.4799999999999999E-2</v>
      </c>
      <c r="G14" s="22">
        <v>14.38</v>
      </c>
      <c r="H14" s="23">
        <v>3.27E-2</v>
      </c>
      <c r="I14" s="23">
        <v>0.31809999999999999</v>
      </c>
    </row>
    <row r="15" spans="1:18" x14ac:dyDescent="0.45">
      <c r="A15" s="36"/>
      <c r="B15" s="22" t="s">
        <v>409</v>
      </c>
      <c r="C15" s="22">
        <v>7.9089999999999998</v>
      </c>
      <c r="D15" s="23">
        <v>4.7000000000000002E-3</v>
      </c>
      <c r="E15" s="22" t="s">
        <v>415</v>
      </c>
      <c r="F15" s="23">
        <v>4.8999999999999998E-3</v>
      </c>
      <c r="G15" s="22">
        <v>1.8740000000000001</v>
      </c>
      <c r="H15" s="23">
        <v>4.3E-3</v>
      </c>
      <c r="I15" s="23">
        <v>0.23699999999999999</v>
      </c>
    </row>
    <row r="17" spans="1:18" x14ac:dyDescent="0.45">
      <c r="A17" s="20">
        <v>43830</v>
      </c>
      <c r="B17" s="21" t="s">
        <v>391</v>
      </c>
      <c r="C17" s="21" t="s">
        <v>424</v>
      </c>
      <c r="D17" s="21" t="s">
        <v>392</v>
      </c>
      <c r="E17" s="21" t="s">
        <v>393</v>
      </c>
      <c r="F17" s="21" t="s">
        <v>394</v>
      </c>
      <c r="G17" s="21" t="s">
        <v>421</v>
      </c>
      <c r="H17" s="21" t="s">
        <v>395</v>
      </c>
      <c r="I17" s="21" t="s">
        <v>396</v>
      </c>
    </row>
    <row r="18" spans="1:18" x14ac:dyDescent="0.45">
      <c r="A18" s="36" t="s">
        <v>399</v>
      </c>
      <c r="B18" s="22" t="s">
        <v>400</v>
      </c>
      <c r="C18" s="22">
        <v>1387</v>
      </c>
      <c r="D18" s="23">
        <v>0.69979999999999998</v>
      </c>
      <c r="E18" s="22" t="s">
        <v>416</v>
      </c>
      <c r="F18" s="23">
        <v>0.60760000000000003</v>
      </c>
      <c r="G18" s="22">
        <v>514.70000000000005</v>
      </c>
      <c r="H18" s="23">
        <v>0.94179999999999997</v>
      </c>
      <c r="I18" s="23">
        <v>0.37119999999999997</v>
      </c>
    </row>
    <row r="19" spans="1:18" x14ac:dyDescent="0.45">
      <c r="A19" s="36"/>
      <c r="B19" s="22" t="s">
        <v>397</v>
      </c>
      <c r="C19" s="22">
        <v>412.6</v>
      </c>
      <c r="D19" s="23">
        <v>0.2082</v>
      </c>
      <c r="E19" s="22" t="s">
        <v>417</v>
      </c>
      <c r="F19" s="23">
        <v>0.27729999999999999</v>
      </c>
      <c r="G19" s="22">
        <v>14.68</v>
      </c>
      <c r="H19" s="23">
        <v>2.69E-2</v>
      </c>
      <c r="I19" s="23">
        <v>3.56E-2</v>
      </c>
      <c r="K19" s="27" t="s">
        <v>428</v>
      </c>
      <c r="L19" s="25" t="s">
        <v>15</v>
      </c>
      <c r="M19" s="24" t="s">
        <v>16</v>
      </c>
      <c r="N19" s="24" t="s">
        <v>17</v>
      </c>
      <c r="O19" s="24" t="s">
        <v>18</v>
      </c>
      <c r="P19" s="24" t="s">
        <v>19</v>
      </c>
    </row>
    <row r="20" spans="1:18" x14ac:dyDescent="0.45">
      <c r="A20" s="36"/>
      <c r="B20" s="22" t="s">
        <v>379</v>
      </c>
      <c r="C20" s="22">
        <v>105.1</v>
      </c>
      <c r="D20" s="23">
        <v>5.2999999999999999E-2</v>
      </c>
      <c r="E20" s="22" t="s">
        <v>418</v>
      </c>
      <c r="F20" s="23">
        <v>7.1300000000000002E-2</v>
      </c>
      <c r="G20" s="22">
        <v>2.806</v>
      </c>
      <c r="H20" s="23">
        <v>5.1000000000000004E-3</v>
      </c>
      <c r="I20" s="23">
        <v>2.6700000000000002E-2</v>
      </c>
      <c r="K20" s="24" t="s">
        <v>429</v>
      </c>
      <c r="L20" s="31">
        <f>G2*(1+1%)</f>
        <v>415.51399999999995</v>
      </c>
      <c r="M20" s="31">
        <f t="shared" ref="M20:P20" si="6">L20*(1+1%)</f>
        <v>419.66913999999997</v>
      </c>
      <c r="N20" s="31">
        <f t="shared" si="6"/>
        <v>423.86583139999999</v>
      </c>
      <c r="O20" s="31">
        <f t="shared" si="6"/>
        <v>428.10448971400001</v>
      </c>
      <c r="P20" s="31">
        <f t="shared" si="6"/>
        <v>432.38553461114003</v>
      </c>
      <c r="Q20" s="29" t="s">
        <v>423</v>
      </c>
      <c r="R20" s="26">
        <v>0.01</v>
      </c>
    </row>
    <row r="21" spans="1:18" x14ac:dyDescent="0.45">
      <c r="A21" s="36"/>
      <c r="B21" s="22" t="s">
        <v>402</v>
      </c>
      <c r="C21" s="22">
        <v>55.76</v>
      </c>
      <c r="D21" s="23">
        <v>2.81E-2</v>
      </c>
      <c r="E21" s="22" t="s">
        <v>419</v>
      </c>
      <c r="F21" s="23">
        <v>2.98E-2</v>
      </c>
      <c r="G21" s="22">
        <v>13.05</v>
      </c>
      <c r="H21" s="23">
        <v>2.3900000000000001E-2</v>
      </c>
      <c r="I21" s="23">
        <v>0.23400000000000001</v>
      </c>
      <c r="K21" s="24" t="s">
        <v>430</v>
      </c>
      <c r="L21" s="31">
        <f>G8*(1+0.8%)</f>
        <v>2.5361280000000002</v>
      </c>
      <c r="M21" s="31">
        <f t="shared" ref="M21:P21" si="7">L21*(1+0.8%)</f>
        <v>2.5564170240000004</v>
      </c>
      <c r="N21" s="31">
        <f t="shared" si="7"/>
        <v>2.5768683601920004</v>
      </c>
      <c r="O21" s="31">
        <f t="shared" si="7"/>
        <v>2.5974833070735364</v>
      </c>
      <c r="P21" s="31">
        <f t="shared" si="7"/>
        <v>2.6182631735301247</v>
      </c>
      <c r="Q21" s="29" t="s">
        <v>426</v>
      </c>
      <c r="R21" s="26">
        <v>8.0000000000000002E-3</v>
      </c>
    </row>
    <row r="22" spans="1:18" x14ac:dyDescent="0.45">
      <c r="A22" s="36"/>
      <c r="B22" s="22" t="s">
        <v>409</v>
      </c>
      <c r="C22" s="22">
        <v>21.41</v>
      </c>
      <c r="D22" s="23">
        <v>1.0800000000000001E-2</v>
      </c>
      <c r="E22" s="22" t="s">
        <v>420</v>
      </c>
      <c r="F22" s="23">
        <v>1.4E-2</v>
      </c>
      <c r="G22" s="22">
        <v>1.272</v>
      </c>
      <c r="H22" s="23">
        <v>2.3E-3</v>
      </c>
      <c r="I22" s="23">
        <v>5.9400000000000001E-2</v>
      </c>
      <c r="K22" s="24" t="s">
        <v>431</v>
      </c>
      <c r="L22" s="31">
        <f>G4*(1+0.1)</f>
        <v>17.809000000000005</v>
      </c>
      <c r="M22" s="31">
        <f t="shared" ref="M22:P22" si="8">L22*(1+0.1)</f>
        <v>19.589900000000007</v>
      </c>
      <c r="N22" s="31">
        <f t="shared" si="8"/>
        <v>21.548890000000011</v>
      </c>
      <c r="O22" s="31">
        <f t="shared" si="8"/>
        <v>23.703779000000015</v>
      </c>
      <c r="P22" s="31">
        <f t="shared" si="8"/>
        <v>26.07415690000002</v>
      </c>
      <c r="Q22" s="29" t="s">
        <v>425</v>
      </c>
      <c r="R22" s="26">
        <v>0.1</v>
      </c>
    </row>
  </sheetData>
  <mergeCells count="3">
    <mergeCell ref="A2:A8"/>
    <mergeCell ref="A11:A15"/>
    <mergeCell ref="A18:A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35FE-9F95-43CC-A64B-E6D6122F14D7}">
  <dimension ref="A1"/>
  <sheetViews>
    <sheetView tabSelected="1" workbookViewId="0"/>
  </sheetViews>
  <sheetFormatPr defaultRowHeight="14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未来股利预测</vt:lpstr>
      <vt:lpstr>现金流分析</vt:lpstr>
      <vt:lpstr>利润增长</vt:lpstr>
      <vt:lpstr>PE&amp;企业成长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小俊超可爱</dc:creator>
  <cp:lastModifiedBy>小俊超可爱</cp:lastModifiedBy>
  <dcterms:created xsi:type="dcterms:W3CDTF">2022-05-19T10:44:46Z</dcterms:created>
  <dcterms:modified xsi:type="dcterms:W3CDTF">2022-05-24T07:53:50Z</dcterms:modified>
</cp:coreProperties>
</file>