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是谁住在大菠萝里\Desktop\作业子\大二春季学期\"/>
    </mc:Choice>
  </mc:AlternateContent>
  <xr:revisionPtr revIDLastSave="0" documentId="13_ncr:1_{40E7E1BD-F69B-46CC-8CA4-CCDC8814B5FF}" xr6:coauthVersionLast="47" xr6:coauthVersionMax="47" xr10:uidLastSave="{00000000-0000-0000-0000-000000000000}"/>
  <bookViews>
    <workbookView xWindow="-110" yWindow="-110" windowWidth="21820" windowHeight="13900" firstSheet="1" activeTab="3" xr2:uid="{00000000-000D-0000-FFFF-FFFF00000000}"/>
  </bookViews>
  <sheets>
    <sheet name="产品情景利润预测与EPS情景预测" sheetId="1" r:id="rId1"/>
    <sheet name="现金流贴现模型估值悲观情景" sheetId="4" r:id="rId2"/>
    <sheet name="现金流贴现模型估值正常情景" sheetId="3" r:id="rId3"/>
    <sheet name="现金流贴现模型估值乐观情景" sheetId="5" r:id="rId4"/>
  </sheet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8" i="1" l="1"/>
  <c r="D108" i="1"/>
  <c r="E108" i="1"/>
  <c r="C109" i="1"/>
  <c r="C117" i="1" s="1"/>
  <c r="D117" i="1" s="1"/>
  <c r="C110" i="1"/>
  <c r="C118" i="1" s="1"/>
  <c r="D118" i="1" s="1"/>
  <c r="E118" i="1" s="1"/>
  <c r="F118" i="1" s="1"/>
  <c r="G118" i="1" s="1"/>
  <c r="C111" i="1"/>
  <c r="M23" i="5"/>
  <c r="M24" i="5" s="1"/>
  <c r="M25" i="5" s="1"/>
  <c r="M26" i="5" s="1"/>
  <c r="M27" i="5" s="1"/>
  <c r="M28" i="5" s="1"/>
  <c r="M29" i="5" s="1"/>
  <c r="M30" i="5" s="1"/>
  <c r="M31" i="5" s="1"/>
  <c r="M32" i="5" s="1"/>
  <c r="L23" i="5"/>
  <c r="L24" i="5" s="1"/>
  <c r="L25" i="5" s="1"/>
  <c r="L26" i="5" s="1"/>
  <c r="L27" i="5" s="1"/>
  <c r="L28" i="5" s="1"/>
  <c r="L29" i="5" s="1"/>
  <c r="L30" i="5" s="1"/>
  <c r="L31" i="5" s="1"/>
  <c r="L32" i="5" s="1"/>
  <c r="K23" i="5"/>
  <c r="K24" i="5" s="1"/>
  <c r="K25" i="5" s="1"/>
  <c r="K26" i="5" s="1"/>
  <c r="K27" i="5" s="1"/>
  <c r="K28" i="5" s="1"/>
  <c r="K29" i="5" s="1"/>
  <c r="K30" i="5" s="1"/>
  <c r="K31" i="5" s="1"/>
  <c r="K32" i="5" s="1"/>
  <c r="N19" i="5"/>
  <c r="N18" i="5"/>
  <c r="C18" i="5"/>
  <c r="F18" i="5" s="1"/>
  <c r="I18" i="5" s="1"/>
  <c r="N17" i="5"/>
  <c r="C17" i="5"/>
  <c r="F17" i="5" s="1"/>
  <c r="N16" i="5"/>
  <c r="F16" i="5"/>
  <c r="I16" i="5" s="1"/>
  <c r="N15" i="5"/>
  <c r="I15" i="5"/>
  <c r="F15" i="5"/>
  <c r="C15" i="5"/>
  <c r="N14" i="5"/>
  <c r="F14" i="5"/>
  <c r="I14" i="5" s="1"/>
  <c r="F13" i="5"/>
  <c r="I13" i="5" s="1"/>
  <c r="F12" i="5"/>
  <c r="I12" i="5" s="1"/>
  <c r="N15" i="4"/>
  <c r="N16" i="4"/>
  <c r="N17" i="4"/>
  <c r="N18" i="4"/>
  <c r="N19" i="4"/>
  <c r="N14" i="4"/>
  <c r="M23" i="4"/>
  <c r="M24" i="4" s="1"/>
  <c r="M25" i="4" s="1"/>
  <c r="M26" i="4" s="1"/>
  <c r="M27" i="4" s="1"/>
  <c r="M28" i="4" s="1"/>
  <c r="M29" i="4" s="1"/>
  <c r="M30" i="4" s="1"/>
  <c r="M31" i="4" s="1"/>
  <c r="M32" i="4" s="1"/>
  <c r="L23" i="4"/>
  <c r="L24" i="4" s="1"/>
  <c r="L25" i="4" s="1"/>
  <c r="L26" i="4" s="1"/>
  <c r="L27" i="4" s="1"/>
  <c r="L28" i="4" s="1"/>
  <c r="L29" i="4" s="1"/>
  <c r="L30" i="4" s="1"/>
  <c r="L31" i="4" s="1"/>
  <c r="L32" i="4" s="1"/>
  <c r="K23" i="4"/>
  <c r="K24" i="4" s="1"/>
  <c r="K25" i="4" s="1"/>
  <c r="K26" i="4" s="1"/>
  <c r="K27" i="4" s="1"/>
  <c r="K28" i="4" s="1"/>
  <c r="K29" i="4" s="1"/>
  <c r="K30" i="4" s="1"/>
  <c r="K31" i="4" s="1"/>
  <c r="K32" i="4" s="1"/>
  <c r="C18" i="4"/>
  <c r="F18" i="4" s="1"/>
  <c r="I18" i="4" s="1"/>
  <c r="C17" i="4"/>
  <c r="F17" i="4" s="1"/>
  <c r="F16" i="4"/>
  <c r="I16" i="4" s="1"/>
  <c r="I15" i="4"/>
  <c r="F15" i="4"/>
  <c r="C15" i="4"/>
  <c r="C19" i="4" s="1"/>
  <c r="F14" i="4"/>
  <c r="I14" i="4" s="1"/>
  <c r="F13" i="4"/>
  <c r="I13" i="4" s="1"/>
  <c r="F12" i="4"/>
  <c r="I12" i="4" s="1"/>
  <c r="N14" i="3"/>
  <c r="N15" i="3"/>
  <c r="N22" i="3" s="1"/>
  <c r="N16" i="3"/>
  <c r="N17" i="3"/>
  <c r="N18" i="3"/>
  <c r="N13" i="3"/>
  <c r="M22" i="3"/>
  <c r="M23" i="3" s="1"/>
  <c r="M24" i="3" s="1"/>
  <c r="M25" i="3" s="1"/>
  <c r="M26" i="3" s="1"/>
  <c r="M27" i="3" s="1"/>
  <c r="M28" i="3" s="1"/>
  <c r="M29" i="3" s="1"/>
  <c r="M30" i="3" s="1"/>
  <c r="M31" i="3" s="1"/>
  <c r="F12" i="3"/>
  <c r="I12" i="3" s="1"/>
  <c r="I14" i="3"/>
  <c r="F14" i="3"/>
  <c r="F15" i="3"/>
  <c r="I15" i="3" s="1"/>
  <c r="F13" i="3"/>
  <c r="I13" i="3" s="1"/>
  <c r="F11" i="3"/>
  <c r="I11" i="3" s="1"/>
  <c r="C16" i="3"/>
  <c r="F16" i="3" s="1"/>
  <c r="I16" i="3" s="1"/>
  <c r="C17" i="3"/>
  <c r="F17" i="3" s="1"/>
  <c r="I17" i="3" s="1"/>
  <c r="N23" i="5" l="1"/>
  <c r="N24" i="5" s="1"/>
  <c r="N25" i="5" s="1"/>
  <c r="N26" i="5" s="1"/>
  <c r="N27" i="5" s="1"/>
  <c r="N28" i="5" s="1"/>
  <c r="N29" i="5" s="1"/>
  <c r="N30" i="5" s="1"/>
  <c r="N31" i="5" s="1"/>
  <c r="N32" i="5" s="1"/>
  <c r="N23" i="4"/>
  <c r="N24" i="4" s="1"/>
  <c r="N25" i="4" s="1"/>
  <c r="N26" i="4" s="1"/>
  <c r="N27" i="4" s="1"/>
  <c r="N28" i="4" s="1"/>
  <c r="N29" i="4" s="1"/>
  <c r="N30" i="4" s="1"/>
  <c r="N31" i="4" s="1"/>
  <c r="N32" i="4" s="1"/>
  <c r="C23" i="4"/>
  <c r="C24" i="4" s="1"/>
  <c r="E117" i="1"/>
  <c r="D119" i="1"/>
  <c r="C119" i="1"/>
  <c r="C22" i="3"/>
  <c r="I17" i="5"/>
  <c r="I19" i="5" s="1"/>
  <c r="F19" i="5"/>
  <c r="C19" i="5"/>
  <c r="C23" i="5"/>
  <c r="D23" i="4"/>
  <c r="I17" i="4"/>
  <c r="I19" i="4" s="1"/>
  <c r="F19" i="4"/>
  <c r="L22" i="3"/>
  <c r="L23" i="3" s="1"/>
  <c r="L24" i="3" s="1"/>
  <c r="L25" i="3" s="1"/>
  <c r="L26" i="3" s="1"/>
  <c r="L27" i="3" s="1"/>
  <c r="L28" i="3" s="1"/>
  <c r="L29" i="3" s="1"/>
  <c r="L30" i="3" s="1"/>
  <c r="L31" i="3" s="1"/>
  <c r="K22" i="3"/>
  <c r="K23" i="3" s="1"/>
  <c r="K24" i="3" s="1"/>
  <c r="K25" i="3" s="1"/>
  <c r="K26" i="3" s="1"/>
  <c r="K27" i="3" s="1"/>
  <c r="K28" i="3" s="1"/>
  <c r="K29" i="3" s="1"/>
  <c r="K30" i="3" s="1"/>
  <c r="K31" i="3" s="1"/>
  <c r="I18" i="3"/>
  <c r="F18" i="3"/>
  <c r="C14" i="3"/>
  <c r="C18" i="3" s="1"/>
  <c r="N23" i="3"/>
  <c r="N24" i="3" s="1"/>
  <c r="N25" i="3" s="1"/>
  <c r="N26" i="3" s="1"/>
  <c r="N27" i="3" s="1"/>
  <c r="N28" i="3" s="1"/>
  <c r="N29" i="3" s="1"/>
  <c r="N30" i="3" s="1"/>
  <c r="N31" i="3" s="1"/>
  <c r="F117" i="1" l="1"/>
  <c r="E119" i="1"/>
  <c r="C24" i="5"/>
  <c r="D23" i="5"/>
  <c r="D24" i="4"/>
  <c r="E23" i="4"/>
  <c r="D22" i="3"/>
  <c r="D23" i="3" s="1"/>
  <c r="G117" i="1" l="1"/>
  <c r="G119" i="1" s="1"/>
  <c r="F119" i="1"/>
  <c r="C120" i="1" s="1"/>
  <c r="D24" i="5"/>
  <c r="E23" i="5"/>
  <c r="E24" i="4"/>
  <c r="F23" i="4"/>
  <c r="E22" i="3"/>
  <c r="F22" i="3" s="1"/>
  <c r="C23" i="3"/>
  <c r="E24" i="5" l="1"/>
  <c r="F23" i="5"/>
  <c r="F24" i="4"/>
  <c r="G23" i="4"/>
  <c r="E23" i="3"/>
  <c r="G22" i="3"/>
  <c r="F23" i="3"/>
  <c r="F24" i="5" l="1"/>
  <c r="G23" i="5"/>
  <c r="C26" i="4"/>
  <c r="G24" i="4"/>
  <c r="C33" i="4" s="1"/>
  <c r="G23" i="3"/>
  <c r="C32" i="3" s="1"/>
  <c r="C25" i="3"/>
  <c r="C26" i="5" l="1"/>
  <c r="G24" i="5"/>
  <c r="C33" i="5" s="1"/>
  <c r="D26" i="4"/>
  <c r="C27" i="4"/>
  <c r="C26" i="3"/>
  <c r="D25" i="3"/>
  <c r="C27" i="5" l="1"/>
  <c r="D26" i="5"/>
  <c r="E26" i="4"/>
  <c r="D27" i="4"/>
  <c r="D26" i="3"/>
  <c r="E25" i="3"/>
  <c r="E26" i="5" l="1"/>
  <c r="D27" i="5"/>
  <c r="E27" i="4"/>
  <c r="F26" i="4"/>
  <c r="E26" i="3"/>
  <c r="F25" i="3"/>
  <c r="E27" i="5" l="1"/>
  <c r="F26" i="5"/>
  <c r="F27" i="4"/>
  <c r="G26" i="4"/>
  <c r="G27" i="4" s="1"/>
  <c r="C29" i="4" s="1"/>
  <c r="C35" i="4" s="1"/>
  <c r="F26" i="3"/>
  <c r="G25" i="3"/>
  <c r="G26" i="3" s="1"/>
  <c r="C28" i="3" s="1"/>
  <c r="C34" i="3" s="1"/>
  <c r="F27" i="5" l="1"/>
  <c r="G26" i="5"/>
  <c r="G27" i="5" s="1"/>
  <c r="C29" i="5" s="1"/>
  <c r="C35" i="5" s="1"/>
  <c r="C34" i="4"/>
  <c r="D34" i="4" s="1"/>
  <c r="C33" i="3"/>
  <c r="D34" i="3" s="1"/>
  <c r="C34" i="5" l="1"/>
  <c r="D33" i="4"/>
  <c r="D35" i="4"/>
  <c r="C36" i="4"/>
  <c r="B43" i="4" s="1"/>
  <c r="C35" i="3"/>
  <c r="B42" i="3" s="1"/>
  <c r="D33" i="3"/>
  <c r="D32" i="3"/>
  <c r="D34" i="5" l="1"/>
  <c r="D33" i="5"/>
  <c r="C36" i="5"/>
  <c r="B43" i="5" s="1"/>
  <c r="D35" i="5"/>
  <c r="D36" i="4"/>
  <c r="D35" i="3"/>
  <c r="C77" i="1"/>
  <c r="C83" i="1" s="1"/>
  <c r="D83" i="1" s="1"/>
  <c r="E83" i="1" s="1"/>
  <c r="F83" i="1" s="1"/>
  <c r="G83" i="1" s="1"/>
  <c r="C76" i="1"/>
  <c r="C89" i="1" s="1"/>
  <c r="D89" i="1" s="1"/>
  <c r="E89" i="1" s="1"/>
  <c r="F89" i="1" s="1"/>
  <c r="G89" i="1" s="1"/>
  <c r="E75" i="1"/>
  <c r="D75" i="1"/>
  <c r="C75" i="1"/>
  <c r="C44" i="1"/>
  <c r="C43" i="1"/>
  <c r="C56" i="1" s="1"/>
  <c r="D56" i="1" s="1"/>
  <c r="E56" i="1" s="1"/>
  <c r="F56" i="1" s="1"/>
  <c r="G56" i="1" s="1"/>
  <c r="E42" i="1"/>
  <c r="D42" i="1"/>
  <c r="C42" i="1"/>
  <c r="C9" i="1"/>
  <c r="C29" i="1" s="1"/>
  <c r="D29" i="1" s="1"/>
  <c r="E29" i="1" s="1"/>
  <c r="F29" i="1" s="1"/>
  <c r="G29" i="1" s="1"/>
  <c r="C10" i="1"/>
  <c r="C23" i="1" s="1"/>
  <c r="D23" i="1" s="1"/>
  <c r="E23" i="1" s="1"/>
  <c r="F23" i="1" s="1"/>
  <c r="G23" i="1" s="1"/>
  <c r="C8" i="1"/>
  <c r="D8" i="1"/>
  <c r="E8" i="1"/>
  <c r="D36" i="5" l="1"/>
  <c r="C57" i="1"/>
  <c r="D57" i="1" s="1"/>
  <c r="E57" i="1" s="1"/>
  <c r="F57" i="1" s="1"/>
  <c r="G57" i="1" s="1"/>
  <c r="C90" i="1"/>
  <c r="D90" i="1" s="1"/>
  <c r="E90" i="1" s="1"/>
  <c r="F90" i="1" s="1"/>
  <c r="G90" i="1" s="1"/>
  <c r="C64" i="1"/>
  <c r="D64" i="1" s="1"/>
  <c r="E64" i="1" s="1"/>
  <c r="F64" i="1" s="1"/>
  <c r="G64" i="1" s="1"/>
  <c r="C97" i="1"/>
  <c r="D97" i="1" s="1"/>
  <c r="E97" i="1" s="1"/>
  <c r="F97" i="1" s="1"/>
  <c r="G97" i="1" s="1"/>
  <c r="C30" i="1"/>
  <c r="D30" i="1" s="1"/>
  <c r="E30" i="1" s="1"/>
  <c r="F30" i="1" s="1"/>
  <c r="G30" i="1" s="1"/>
  <c r="C49" i="1"/>
  <c r="D49" i="1" s="1"/>
  <c r="E49" i="1" s="1"/>
  <c r="F49" i="1" s="1"/>
  <c r="G49" i="1" s="1"/>
  <c r="C22" i="1"/>
  <c r="C24" i="1" s="1"/>
  <c r="C50" i="1"/>
  <c r="D50" i="1" s="1"/>
  <c r="E50" i="1" s="1"/>
  <c r="F50" i="1" s="1"/>
  <c r="G50" i="1" s="1"/>
  <c r="C96" i="1"/>
  <c r="D96" i="1" s="1"/>
  <c r="E96" i="1" s="1"/>
  <c r="F96" i="1" s="1"/>
  <c r="G96" i="1" s="1"/>
  <c r="C63" i="1"/>
  <c r="D63" i="1" s="1"/>
  <c r="E63" i="1" s="1"/>
  <c r="F63" i="1" s="1"/>
  <c r="G63" i="1" s="1"/>
  <c r="C82" i="1"/>
  <c r="D82" i="1" s="1"/>
  <c r="E82" i="1" s="1"/>
  <c r="F82" i="1" s="1"/>
  <c r="G82" i="1" s="1"/>
  <c r="C78" i="1"/>
  <c r="C45" i="1"/>
  <c r="C11" i="1"/>
  <c r="C15" i="1"/>
  <c r="D15" i="1" s="1"/>
  <c r="E15" i="1" s="1"/>
  <c r="F15" i="1" s="1"/>
  <c r="G15" i="1" s="1"/>
  <c r="C16" i="1"/>
  <c r="D16" i="1" s="1"/>
  <c r="E16" i="1" s="1"/>
  <c r="F16" i="1" s="1"/>
  <c r="G16" i="1" s="1"/>
  <c r="C65" i="1" l="1"/>
  <c r="C91" i="1"/>
  <c r="D22" i="1"/>
  <c r="E22" i="1" s="1"/>
  <c r="F22" i="1" s="1"/>
  <c r="G22" i="1" s="1"/>
  <c r="C31" i="1"/>
  <c r="C58" i="1"/>
  <c r="C51" i="1"/>
  <c r="C84" i="1"/>
  <c r="C98" i="1"/>
  <c r="D84" i="1"/>
  <c r="D98" i="1"/>
  <c r="D91" i="1"/>
  <c r="D65" i="1"/>
  <c r="D58" i="1"/>
  <c r="D51" i="1"/>
  <c r="D31" i="1"/>
  <c r="G17" i="1"/>
  <c r="C17" i="1"/>
  <c r="D17" i="1"/>
  <c r="E17" i="1"/>
  <c r="F17" i="1"/>
  <c r="E24" i="1" l="1"/>
  <c r="C135" i="1"/>
  <c r="C137" i="1" s="1"/>
  <c r="C141" i="1"/>
  <c r="C143" i="1" s="1"/>
  <c r="C129" i="1"/>
  <c r="C131" i="1" s="1"/>
  <c r="D129" i="1"/>
  <c r="D131" i="1" s="1"/>
  <c r="D141" i="1"/>
  <c r="D143" i="1" s="1"/>
  <c r="D24" i="1"/>
  <c r="D135" i="1" s="1"/>
  <c r="D137" i="1" s="1"/>
  <c r="C18" i="1"/>
  <c r="E91" i="1"/>
  <c r="E98" i="1"/>
  <c r="E84" i="1"/>
  <c r="E65" i="1"/>
  <c r="E58" i="1"/>
  <c r="E51" i="1"/>
  <c r="E31" i="1"/>
  <c r="G24" i="1"/>
  <c r="F24" i="1"/>
  <c r="E135" i="1" l="1"/>
  <c r="E137" i="1" s="1"/>
  <c r="E129" i="1"/>
  <c r="E131" i="1" s="1"/>
  <c r="E141" i="1"/>
  <c r="E143" i="1" s="1"/>
  <c r="F84" i="1"/>
  <c r="G84" i="1"/>
  <c r="F98" i="1"/>
  <c r="G98" i="1"/>
  <c r="F91" i="1"/>
  <c r="G91" i="1"/>
  <c r="F51" i="1"/>
  <c r="G51" i="1"/>
  <c r="F58" i="1"/>
  <c r="G58" i="1"/>
  <c r="G65" i="1"/>
  <c r="F65" i="1"/>
  <c r="C25" i="1"/>
  <c r="F31" i="1"/>
  <c r="G31" i="1"/>
  <c r="G135" i="1" l="1"/>
  <c r="G137" i="1" s="1"/>
  <c r="F135" i="1"/>
  <c r="F137" i="1" s="1"/>
  <c r="C92" i="1"/>
  <c r="C66" i="1"/>
  <c r="F129" i="1"/>
  <c r="F131" i="1" s="1"/>
  <c r="G129" i="1"/>
  <c r="G131" i="1" s="1"/>
  <c r="G141" i="1"/>
  <c r="G143" i="1" s="1"/>
  <c r="F141" i="1"/>
  <c r="F143" i="1" s="1"/>
  <c r="C85" i="1"/>
  <c r="C99" i="1"/>
  <c r="C52" i="1"/>
  <c r="C59" i="1"/>
  <c r="C32" i="1"/>
</calcChain>
</file>

<file path=xl/sharedStrings.xml><?xml version="1.0" encoding="utf-8"?>
<sst xmlns="http://schemas.openxmlformats.org/spreadsheetml/2006/main" count="438" uniqueCount="95">
  <si>
    <t>产品：智能手机</t>
    <phoneticPr fontId="3" type="noConversion"/>
  </si>
  <si>
    <t>年份</t>
    <phoneticPr fontId="3" type="noConversion"/>
  </si>
  <si>
    <t>2022E</t>
    <phoneticPr fontId="3" type="noConversion"/>
  </si>
  <si>
    <t>2023E</t>
    <phoneticPr fontId="3" type="noConversion"/>
  </si>
  <si>
    <t>2024E</t>
    <phoneticPr fontId="3" type="noConversion"/>
  </si>
  <si>
    <t>2025E</t>
    <phoneticPr fontId="3" type="noConversion"/>
  </si>
  <si>
    <t>2026E</t>
    <phoneticPr fontId="3" type="noConversion"/>
  </si>
  <si>
    <t>销售增长率：</t>
    <phoneticPr fontId="3" type="noConversion"/>
  </si>
  <si>
    <t>成本增长率：</t>
    <phoneticPr fontId="3" type="noConversion"/>
  </si>
  <si>
    <t>利润增长率：</t>
    <phoneticPr fontId="3" type="noConversion"/>
  </si>
  <si>
    <t>利润(元)</t>
    <phoneticPr fontId="3" type="noConversion"/>
  </si>
  <si>
    <t>成本(元)</t>
    <phoneticPr fontId="3" type="noConversion"/>
  </si>
  <si>
    <t>销售收入(元)</t>
    <phoneticPr fontId="3" type="noConversion"/>
  </si>
  <si>
    <t>产品：IoT与生活消费产品</t>
    <phoneticPr fontId="3" type="noConversion"/>
  </si>
  <si>
    <t>产品：互联网服务</t>
    <phoneticPr fontId="3" type="noConversion"/>
  </si>
  <si>
    <t>产品：其他</t>
    <phoneticPr fontId="3" type="noConversion"/>
  </si>
  <si>
    <t>由于其他产品存在极大的不确定性，利润以及成本无法具体估算</t>
    <phoneticPr fontId="3" type="noConversion"/>
  </si>
  <si>
    <t>总收益(元)</t>
    <phoneticPr fontId="3" type="noConversion"/>
  </si>
  <si>
    <t>总股本(个)</t>
    <phoneticPr fontId="3" type="noConversion"/>
  </si>
  <si>
    <t>EPS预测</t>
    <phoneticPr fontId="3" type="noConversion"/>
  </si>
  <si>
    <t>EPS</t>
    <phoneticPr fontId="3" type="noConversion"/>
  </si>
  <si>
    <t>EPS范围</t>
    <phoneticPr fontId="3" type="noConversion"/>
  </si>
  <si>
    <t>2.91-3.54</t>
    <phoneticPr fontId="3" type="noConversion"/>
  </si>
  <si>
    <t>3.71-5.33</t>
    <phoneticPr fontId="3" type="noConversion"/>
  </si>
  <si>
    <t>4.71-7.84</t>
    <phoneticPr fontId="3" type="noConversion"/>
  </si>
  <si>
    <t>6.07-11.47</t>
    <phoneticPr fontId="3" type="noConversion"/>
  </si>
  <si>
    <t>8.02-16.74</t>
    <phoneticPr fontId="3" type="noConversion"/>
  </si>
  <si>
    <t>自由现金流贴现估值</t>
    <phoneticPr fontId="16" type="noConversion"/>
  </si>
  <si>
    <t>假设</t>
  </si>
  <si>
    <t>数值</t>
  </si>
  <si>
    <r>
      <t>第一阶段</t>
    </r>
    <r>
      <rPr>
        <sz val="9"/>
        <rFont val="Times New Roman"/>
        <family val="1"/>
      </rPr>
      <t>(2022-2026)</t>
    </r>
    <r>
      <rPr>
        <sz val="9"/>
        <rFont val="宋体"/>
        <family val="3"/>
        <charset val="134"/>
      </rPr>
      <t>年数</t>
    </r>
    <phoneticPr fontId="2" type="noConversion"/>
  </si>
  <si>
    <r>
      <t>第二阶段</t>
    </r>
    <r>
      <rPr>
        <sz val="9"/>
        <rFont val="Times New Roman"/>
        <family val="1"/>
      </rPr>
      <t>(2027-2031)</t>
    </r>
    <phoneticPr fontId="2" type="noConversion"/>
  </si>
  <si>
    <r>
      <t>第三阶段</t>
    </r>
    <r>
      <rPr>
        <sz val="9"/>
        <rFont val="宋体"/>
        <family val="1"/>
        <charset val="134"/>
      </rPr>
      <t>(2032-)</t>
    </r>
    <phoneticPr fontId="2" type="noConversion"/>
  </si>
  <si>
    <t>∞</t>
    <phoneticPr fontId="16" type="noConversion"/>
  </si>
  <si>
    <t>第一阶段增长率</t>
    <phoneticPr fontId="2" type="noConversion"/>
  </si>
  <si>
    <t>第二阶段增长率</t>
  </si>
  <si>
    <t>第三阶段增长率</t>
    <phoneticPr fontId="16" type="noConversion"/>
  </si>
  <si>
    <t>税率</t>
    <phoneticPr fontId="16" type="noConversion"/>
  </si>
  <si>
    <r>
      <t>无风险利率</t>
    </r>
    <r>
      <rPr>
        <sz val="9"/>
        <rFont val="Times New Roman"/>
        <family val="1"/>
      </rPr>
      <t>Rf</t>
    </r>
    <phoneticPr fontId="2" type="noConversion"/>
  </si>
  <si>
    <r>
      <t>β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β</t>
    </r>
    <r>
      <rPr>
        <sz val="6"/>
        <rFont val="Times New Roman"/>
        <family val="1"/>
      </rPr>
      <t>levered</t>
    </r>
    <r>
      <rPr>
        <sz val="9"/>
        <rFont val="Times New Roman"/>
        <family val="1"/>
      </rPr>
      <t>)</t>
    </r>
  </si>
  <si>
    <t>经营现金净额(亿元)</t>
    <phoneticPr fontId="16" type="noConversion"/>
  </si>
  <si>
    <t>自由现金总和(亿元)</t>
    <phoneticPr fontId="16" type="noConversion"/>
  </si>
  <si>
    <t>年份</t>
    <phoneticPr fontId="2" type="noConversion"/>
  </si>
  <si>
    <t>Rm</t>
  </si>
  <si>
    <t>Ke</t>
  </si>
  <si>
    <t>Kd</t>
    <phoneticPr fontId="2" type="noConversion"/>
  </si>
  <si>
    <t>Ve</t>
  </si>
  <si>
    <t>Vd</t>
    <phoneticPr fontId="2" type="noConversion"/>
  </si>
  <si>
    <t>Wacc</t>
    <phoneticPr fontId="2" type="noConversion"/>
  </si>
  <si>
    <t>第一阶段</t>
  </si>
  <si>
    <t>2022E</t>
    <phoneticPr fontId="16" type="noConversion"/>
  </si>
  <si>
    <t>2023E</t>
    <phoneticPr fontId="16" type="noConversion"/>
  </si>
  <si>
    <t>2024E</t>
    <phoneticPr fontId="16" type="noConversion"/>
  </si>
  <si>
    <t>2025E</t>
    <phoneticPr fontId="16" type="noConversion"/>
  </si>
  <si>
    <t>2026E</t>
    <phoneticPr fontId="16" type="noConversion"/>
  </si>
  <si>
    <t>自由现金流总和(亿元)</t>
    <phoneticPr fontId="16" type="noConversion"/>
  </si>
  <si>
    <t>年份</t>
    <phoneticPr fontId="16" type="noConversion"/>
  </si>
  <si>
    <t>自由现金流(亿元)</t>
    <phoneticPr fontId="16" type="noConversion"/>
  </si>
  <si>
    <r>
      <rPr>
        <sz val="9"/>
        <rFont val="宋体"/>
        <family val="1"/>
        <charset val="134"/>
      </rPr>
      <t>自由现金流贴现值</t>
    </r>
    <r>
      <rPr>
        <sz val="9"/>
        <rFont val="Times New Roman"/>
        <family val="1"/>
      </rPr>
      <t>(</t>
    </r>
    <r>
      <rPr>
        <sz val="9"/>
        <rFont val="宋体"/>
        <family val="1"/>
        <charset val="134"/>
      </rPr>
      <t>亿元</t>
    </r>
    <r>
      <rPr>
        <sz val="9"/>
        <rFont val="Times New Roman"/>
        <family val="1"/>
      </rPr>
      <t>)</t>
    </r>
    <phoneticPr fontId="16" type="noConversion"/>
  </si>
  <si>
    <t>第二阶段</t>
  </si>
  <si>
    <t>2027E</t>
    <phoneticPr fontId="16" type="noConversion"/>
  </si>
  <si>
    <t>2028E</t>
  </si>
  <si>
    <t>2029E</t>
  </si>
  <si>
    <t>2030E</t>
  </si>
  <si>
    <t>2031E</t>
  </si>
  <si>
    <t>第三阶段</t>
    <phoneticPr fontId="16" type="noConversion"/>
  </si>
  <si>
    <t>2032E-</t>
    <phoneticPr fontId="16" type="noConversion"/>
  </si>
  <si>
    <t>估值</t>
    <phoneticPr fontId="16" type="noConversion"/>
  </si>
  <si>
    <t>现金流折现值（亿元）</t>
    <phoneticPr fontId="16" type="noConversion"/>
  </si>
  <si>
    <t>价值百分比</t>
  </si>
  <si>
    <t>总贴现值</t>
    <phoneticPr fontId="16" type="noConversion"/>
  </si>
  <si>
    <t>股本（亿个）</t>
    <phoneticPr fontId="16" type="noConversion"/>
  </si>
  <si>
    <t>每股价值（元）</t>
    <phoneticPr fontId="16" type="noConversion"/>
  </si>
  <si>
    <t>1.15</t>
    <phoneticPr fontId="3" type="noConversion"/>
  </si>
  <si>
    <t>资本开支(亿元)</t>
    <phoneticPr fontId="2" type="noConversion"/>
  </si>
  <si>
    <t>资本开支(亿元)</t>
    <phoneticPr fontId="16" type="noConversion"/>
  </si>
  <si>
    <t>折旧与摊销(亿元)</t>
    <phoneticPr fontId="16" type="noConversion"/>
  </si>
  <si>
    <t>250.23</t>
    <phoneticPr fontId="16" type="noConversion"/>
  </si>
  <si>
    <t>产品情景利润预测与EPS情景预测</t>
    <phoneticPr fontId="3" type="noConversion"/>
  </si>
  <si>
    <t>注：增长率为过去三年平均增长率所得，视为正常情景</t>
    <phoneticPr fontId="3" type="noConversion"/>
  </si>
  <si>
    <t>注：销售收入增长率较正常情景减少10%，成本增长率皆增加3%</t>
    <phoneticPr fontId="3" type="noConversion"/>
  </si>
  <si>
    <t>注：销售收入增长率为正常情景，成本增长率皆增加3%</t>
    <phoneticPr fontId="3" type="noConversion"/>
  </si>
  <si>
    <t>注：销售收入增长率较正常情景增加10%，成本增长率皆增加3%</t>
    <phoneticPr fontId="3" type="noConversion"/>
  </si>
  <si>
    <t>注：销售收入增长率较正常情景减少5%，成本增长率皆增加3%</t>
    <phoneticPr fontId="3" type="noConversion"/>
  </si>
  <si>
    <t>注：销售收入增长率较正常情景增加5%，成本增长率皆增加3%</t>
    <phoneticPr fontId="3" type="noConversion"/>
  </si>
  <si>
    <t>注：销售收入增长率较正常情景增加15%，成本增长率皆增加3%</t>
    <phoneticPr fontId="3" type="noConversion"/>
  </si>
  <si>
    <t>乐观情况</t>
    <phoneticPr fontId="3" type="noConversion"/>
  </si>
  <si>
    <t>注：乐观情景为正常情景第一阶段增长率上调3%，第二阶段上调3%，第三阶段上调0.2%</t>
    <phoneticPr fontId="3" type="noConversion"/>
  </si>
  <si>
    <t>正常情况</t>
    <phoneticPr fontId="3" type="noConversion"/>
  </si>
  <si>
    <t>注：正常情况即为对企业的正常预期，第一阶段增长率为20%，第二阶段为15%，第三阶段为10%</t>
    <phoneticPr fontId="3" type="noConversion"/>
  </si>
  <si>
    <t>悲观情景</t>
    <phoneticPr fontId="3" type="noConversion"/>
  </si>
  <si>
    <t>注：悲观情景为正常情景第一阶段增长率下调3%，第二阶段下调3%，第三阶段下调1%</t>
    <phoneticPr fontId="3" type="noConversion"/>
  </si>
  <si>
    <t>正常情景</t>
    <phoneticPr fontId="3" type="noConversion"/>
  </si>
  <si>
    <t>乐观情景</t>
    <phoneticPr fontId="3" type="noConversion"/>
  </si>
  <si>
    <t>因此只采用一种情景，且具有不确定性，所以把后三年销售增长率调整为75%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</si>
</sst>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\-d"/>
    <numFmt numFmtId="177" formatCode="0.00_);[Red]\(0.00\)"/>
    <numFmt numFmtId="178" formatCode="0_ "/>
    <numFmt numFmtId="179" formatCode="0.00_ "/>
  </numFmts>
  <fonts count="25">
    <font>
      <sz val="11"/>
      <color theme="1"/>
      <name val="等线"/>
      <family val="2"/>
      <scheme val="minor"/>
    </font>
    <font>
      <b/>
      <sz val="11"/>
      <color theme="0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b/>
      <sz val="8"/>
      <name val="Arial"/>
      <family val="2"/>
    </font>
    <font>
      <sz val="8"/>
      <color rgb="FF333333"/>
      <name val="Microsoft Yahei"/>
      <family val="2"/>
      <charset val="134"/>
    </font>
    <font>
      <b/>
      <sz val="8"/>
      <color indexed="9"/>
      <name val="Arial"/>
      <family val="2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b/>
      <sz val="14"/>
      <color theme="4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1"/>
      <charset val="134"/>
    </font>
    <font>
      <b/>
      <sz val="9"/>
      <color indexed="48"/>
      <name val="Times New Roman"/>
      <family val="1"/>
    </font>
    <font>
      <sz val="6"/>
      <name val="Times New Roman"/>
      <family val="1"/>
    </font>
    <font>
      <sz val="9"/>
      <name val="Times New Roman"/>
      <family val="1"/>
      <charset val="134"/>
    </font>
    <font>
      <sz val="14"/>
      <color theme="4" tint="-0.499984740745262"/>
      <name val="等线"/>
      <family val="2"/>
      <scheme val="minor"/>
    </font>
    <font>
      <b/>
      <sz val="16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CEE1F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8CAF47"/>
        <bgColor indexed="64"/>
      </patternFill>
    </fill>
    <fill>
      <patternFill patternType="solid">
        <fgColor rgb="FFE8F9FE"/>
        <bgColor theme="0" tint="-0.14999847407452621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 style="thin">
        <color indexed="44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 style="thin">
        <color indexed="9"/>
      </left>
      <right style="thin">
        <color indexed="44"/>
      </right>
      <top/>
      <bottom style="thin">
        <color indexed="9"/>
      </bottom>
      <diagonal/>
    </border>
    <border>
      <left style="thin">
        <color indexed="44"/>
      </left>
      <right/>
      <top/>
      <bottom/>
      <diagonal/>
    </border>
    <border>
      <left style="thin">
        <color indexed="4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44"/>
      </right>
      <top style="thin">
        <color indexed="9"/>
      </top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44"/>
      </right>
      <top/>
      <bottom/>
      <diagonal/>
    </border>
    <border>
      <left style="thin">
        <color indexed="44"/>
      </left>
      <right style="thin">
        <color indexed="9"/>
      </right>
      <top style="thin">
        <color indexed="9"/>
      </top>
      <bottom style="thin">
        <color indexed="44"/>
      </bottom>
      <diagonal/>
    </border>
    <border>
      <left style="thin">
        <color indexed="9"/>
      </left>
      <right style="thin">
        <color indexed="44"/>
      </right>
      <top style="thin">
        <color indexed="9"/>
      </top>
      <bottom style="thin">
        <color indexed="4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44"/>
      </bottom>
      <diagonal/>
    </border>
    <border>
      <left style="thin">
        <color indexed="64"/>
      </left>
      <right/>
      <top style="thin">
        <color indexed="44"/>
      </top>
      <bottom/>
      <diagonal/>
    </border>
    <border>
      <left style="thin">
        <color indexed="64"/>
      </left>
      <right style="thin">
        <color indexed="9"/>
      </right>
      <top style="thin">
        <color indexed="44"/>
      </top>
      <bottom/>
      <diagonal/>
    </border>
    <border>
      <left/>
      <right style="thin">
        <color indexed="9"/>
      </right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44"/>
      </left>
      <right/>
      <top/>
      <bottom/>
      <diagonal/>
    </border>
    <border>
      <left style="thin">
        <color indexed="4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4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44"/>
      </bottom>
      <diagonal/>
    </border>
  </borders>
  <cellStyleXfs count="3">
    <xf numFmtId="0" fontId="0" fillId="0" borderId="0"/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14">
    <xf numFmtId="0" fontId="0" fillId="0" borderId="0" xfId="0"/>
    <xf numFmtId="176" fontId="6" fillId="3" borderId="3" xfId="1" applyNumberFormat="1" applyFont="1" applyFill="1" applyBorder="1" applyAlignment="1">
      <alignment horizontal="center" vertical="center"/>
    </xf>
    <xf numFmtId="0" fontId="0" fillId="4" borderId="0" xfId="0" applyFill="1"/>
    <xf numFmtId="4" fontId="7" fillId="0" borderId="0" xfId="0" applyNumberFormat="1" applyFont="1"/>
    <xf numFmtId="0" fontId="8" fillId="5" borderId="3" xfId="1" applyNumberFormat="1" applyFont="1" applyFill="1" applyBorder="1" applyAlignment="1">
      <alignment horizontal="center" vertical="center"/>
    </xf>
    <xf numFmtId="0" fontId="9" fillId="4" borderId="0" xfId="0" applyFont="1" applyFill="1"/>
    <xf numFmtId="10" fontId="7" fillId="0" borderId="0" xfId="0" applyNumberFormat="1" applyFont="1"/>
    <xf numFmtId="0" fontId="0" fillId="6" borderId="0" xfId="0" applyFill="1"/>
    <xf numFmtId="0" fontId="10" fillId="7" borderId="0" xfId="0" applyFont="1" applyFill="1"/>
    <xf numFmtId="0" fontId="11" fillId="4" borderId="0" xfId="0" applyFont="1" applyFill="1"/>
    <xf numFmtId="0" fontId="12" fillId="4" borderId="0" xfId="0" applyFont="1" applyFill="1"/>
    <xf numFmtId="0" fontId="0" fillId="0" borderId="7" xfId="0" applyBorder="1"/>
    <xf numFmtId="178" fontId="13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vertical="center"/>
    </xf>
    <xf numFmtId="0" fontId="0" fillId="0" borderId="4" xfId="0" applyBorder="1"/>
    <xf numFmtId="178" fontId="14" fillId="2" borderId="7" xfId="0" applyNumberFormat="1" applyFont="1" applyFill="1" applyBorder="1" applyAlignment="1">
      <alignment horizontal="center" vertical="top" wrapText="1"/>
    </xf>
    <xf numFmtId="0" fontId="15" fillId="9" borderId="8" xfId="0" applyFont="1" applyFill="1" applyBorder="1"/>
    <xf numFmtId="0" fontId="4" fillId="9" borderId="8" xfId="0" applyFont="1" applyFill="1" applyBorder="1"/>
    <xf numFmtId="0" fontId="17" fillId="9" borderId="8" xfId="0" applyFont="1" applyFill="1" applyBorder="1"/>
    <xf numFmtId="14" fontId="0" fillId="9" borderId="8" xfId="0" applyNumberFormat="1" applyFill="1" applyBorder="1"/>
    <xf numFmtId="0" fontId="15" fillId="9" borderId="0" xfId="0" applyFont="1" applyFill="1"/>
    <xf numFmtId="0" fontId="0" fillId="0" borderId="2" xfId="0" applyBorder="1"/>
    <xf numFmtId="0" fontId="0" fillId="0" borderId="9" xfId="0" applyBorder="1"/>
    <xf numFmtId="0" fontId="14" fillId="2" borderId="6" xfId="0" applyFont="1" applyFill="1" applyBorder="1"/>
    <xf numFmtId="0" fontId="4" fillId="9" borderId="8" xfId="0" applyFont="1" applyFill="1" applyBorder="1" applyAlignment="1">
      <alignment horizontal="justify" vertical="top" wrapText="1"/>
    </xf>
    <xf numFmtId="0" fontId="4" fillId="9" borderId="8" xfId="0" applyFont="1" applyFill="1" applyBorder="1" applyAlignment="1">
      <alignment horizontal="right" vertical="top" wrapText="1"/>
    </xf>
    <xf numFmtId="0" fontId="2" fillId="2" borderId="10" xfId="0" applyFont="1" applyFill="1" applyBorder="1" applyAlignment="1">
      <alignment horizontal="justify" vertical="top" wrapText="1"/>
    </xf>
    <xf numFmtId="0" fontId="4" fillId="0" borderId="7" xfId="0" applyFont="1" applyBorder="1" applyAlignment="1">
      <alignment horizontal="center" wrapText="1"/>
    </xf>
    <xf numFmtId="0" fontId="14" fillId="2" borderId="10" xfId="0" applyFont="1" applyFill="1" applyBorder="1"/>
    <xf numFmtId="0" fontId="14" fillId="2" borderId="7" xfId="0" applyFont="1" applyFill="1" applyBorder="1"/>
    <xf numFmtId="0" fontId="2" fillId="2" borderId="1" xfId="0" applyFont="1" applyFill="1" applyBorder="1" applyAlignment="1">
      <alignment horizontal="justify" vertical="top" wrapText="1"/>
    </xf>
    <xf numFmtId="0" fontId="2" fillId="2" borderId="13" xfId="0" applyFont="1" applyFill="1" applyBorder="1" applyAlignment="1">
      <alignment horizontal="right" vertical="top" wrapText="1"/>
    </xf>
    <xf numFmtId="177" fontId="14" fillId="0" borderId="7" xfId="0" applyNumberFormat="1" applyFont="1" applyBorder="1" applyAlignment="1">
      <alignment horizontal="center" wrapText="1"/>
    </xf>
    <xf numFmtId="0" fontId="2" fillId="2" borderId="15" xfId="0" applyFont="1" applyFill="1" applyBorder="1"/>
    <xf numFmtId="10" fontId="14" fillId="2" borderId="16" xfId="0" applyNumberFormat="1" applyFont="1" applyFill="1" applyBorder="1" applyAlignment="1">
      <alignment horizontal="right" vertical="top" wrapText="1"/>
    </xf>
    <xf numFmtId="9" fontId="14" fillId="2" borderId="10" xfId="0" applyNumberFormat="1" applyFont="1" applyFill="1" applyBorder="1" applyAlignment="1">
      <alignment horizontal="justify" vertical="top" wrapText="1"/>
    </xf>
    <xf numFmtId="177" fontId="14" fillId="0" borderId="6" xfId="0" applyNumberFormat="1" applyFont="1" applyBorder="1" applyAlignment="1">
      <alignment horizontal="center" wrapText="1"/>
    </xf>
    <xf numFmtId="0" fontId="2" fillId="2" borderId="15" xfId="0" applyFont="1" applyFill="1" applyBorder="1" applyAlignment="1">
      <alignment horizontal="justify" vertical="top" wrapText="1"/>
    </xf>
    <xf numFmtId="177" fontId="14" fillId="0" borderId="7" xfId="0" applyNumberFormat="1" applyFont="1" applyBorder="1" applyAlignment="1">
      <alignment horizontal="center"/>
    </xf>
    <xf numFmtId="10" fontId="14" fillId="0" borderId="2" xfId="0" applyNumberFormat="1" applyFont="1" applyBorder="1" applyAlignment="1">
      <alignment horizontal="center"/>
    </xf>
    <xf numFmtId="49" fontId="14" fillId="2" borderId="16" xfId="0" applyNumberFormat="1" applyFont="1" applyFill="1" applyBorder="1" applyAlignment="1">
      <alignment horizontal="right" vertical="top" wrapText="1"/>
    </xf>
    <xf numFmtId="0" fontId="1" fillId="10" borderId="17" xfId="0" applyFont="1" applyFill="1" applyBorder="1" applyAlignment="1">
      <alignment vertical="center"/>
    </xf>
    <xf numFmtId="0" fontId="1" fillId="10" borderId="18" xfId="0" applyFont="1" applyFill="1" applyBorder="1" applyAlignment="1">
      <alignment vertical="center"/>
    </xf>
    <xf numFmtId="0" fontId="1" fillId="11" borderId="19" xfId="0" applyFont="1" applyFill="1" applyBorder="1" applyAlignment="1">
      <alignment vertical="center"/>
    </xf>
    <xf numFmtId="0" fontId="14" fillId="2" borderId="15" xfId="0" applyFont="1" applyFill="1" applyBorder="1" applyAlignment="1">
      <alignment horizontal="justify" vertical="top" wrapText="1"/>
    </xf>
    <xf numFmtId="177" fontId="0" fillId="12" borderId="17" xfId="0" applyNumberFormat="1" applyFill="1" applyBorder="1" applyAlignment="1">
      <alignment vertical="center"/>
    </xf>
    <xf numFmtId="0" fontId="0" fillId="11" borderId="19" xfId="0" applyFill="1" applyBorder="1" applyAlignment="1">
      <alignment vertical="center"/>
    </xf>
    <xf numFmtId="0" fontId="14" fillId="2" borderId="14" xfId="0" applyFont="1" applyFill="1" applyBorder="1" applyAlignment="1">
      <alignment horizontal="justify" vertical="top" wrapText="1"/>
    </xf>
    <xf numFmtId="40" fontId="14" fillId="2" borderId="20" xfId="0" applyNumberFormat="1" applyFont="1" applyFill="1" applyBorder="1" applyAlignment="1">
      <alignment horizontal="right" vertical="top" wrapText="1"/>
    </xf>
    <xf numFmtId="9" fontId="14" fillId="2" borderId="7" xfId="0" applyNumberFormat="1" applyFont="1" applyFill="1" applyBorder="1" applyAlignment="1">
      <alignment horizontal="justify" vertical="top" wrapText="1"/>
    </xf>
    <xf numFmtId="0" fontId="14" fillId="2" borderId="21" xfId="0" applyFont="1" applyFill="1" applyBorder="1" applyAlignment="1">
      <alignment horizontal="justify" vertical="top" wrapText="1"/>
    </xf>
    <xf numFmtId="10" fontId="14" fillId="2" borderId="22" xfId="0" applyNumberFormat="1" applyFont="1" applyFill="1" applyBorder="1" applyAlignment="1">
      <alignment horizontal="right" vertical="top" wrapText="1"/>
    </xf>
    <xf numFmtId="0" fontId="14" fillId="2" borderId="4" xfId="0" applyFont="1" applyFill="1" applyBorder="1"/>
    <xf numFmtId="0" fontId="4" fillId="9" borderId="23" xfId="0" applyFont="1" applyFill="1" applyBorder="1" applyAlignment="1">
      <alignment horizontal="justify" vertical="top" wrapText="1"/>
    </xf>
    <xf numFmtId="178" fontId="13" fillId="9" borderId="0" xfId="0" applyNumberFormat="1" applyFont="1" applyFill="1" applyAlignment="1">
      <alignment horizontal="right" vertical="top" wrapText="1"/>
    </xf>
    <xf numFmtId="9" fontId="13" fillId="9" borderId="0" xfId="0" applyNumberFormat="1" applyFont="1" applyFill="1" applyAlignment="1">
      <alignment horizontal="right" vertical="top" wrapText="1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13" fillId="2" borderId="7" xfId="0" applyFont="1" applyFill="1" applyBorder="1"/>
    <xf numFmtId="0" fontId="18" fillId="2" borderId="24" xfId="0" applyFont="1" applyFill="1" applyBorder="1" applyAlignment="1">
      <alignment vertical="top"/>
    </xf>
    <xf numFmtId="0" fontId="14" fillId="2" borderId="2" xfId="0" applyFont="1" applyFill="1" applyBorder="1"/>
    <xf numFmtId="0" fontId="14" fillId="2" borderId="25" xfId="0" applyFont="1" applyFill="1" applyBorder="1"/>
    <xf numFmtId="0" fontId="14" fillId="2" borderId="0" xfId="0" applyFont="1" applyFill="1"/>
    <xf numFmtId="178" fontId="14" fillId="2" borderId="6" xfId="0" applyNumberFormat="1" applyFont="1" applyFill="1" applyBorder="1" applyAlignment="1">
      <alignment horizontal="center" vertical="top" wrapText="1"/>
    </xf>
    <xf numFmtId="0" fontId="0" fillId="11" borderId="26" xfId="0" applyFill="1" applyBorder="1" applyAlignment="1">
      <alignment vertical="center"/>
    </xf>
    <xf numFmtId="0" fontId="0" fillId="0" borderId="10" xfId="0" applyBorder="1"/>
    <xf numFmtId="0" fontId="21" fillId="2" borderId="27" xfId="0" applyFont="1" applyFill="1" applyBorder="1" applyAlignment="1">
      <alignment horizontal="justify" vertical="top" wrapText="1"/>
    </xf>
    <xf numFmtId="0" fontId="0" fillId="11" borderId="5" xfId="0" applyFill="1" applyBorder="1" applyAlignment="1">
      <alignment vertical="center"/>
    </xf>
    <xf numFmtId="0" fontId="13" fillId="2" borderId="6" xfId="0" applyFont="1" applyFill="1" applyBorder="1"/>
    <xf numFmtId="0" fontId="4" fillId="9" borderId="28" xfId="0" applyFont="1" applyFill="1" applyBorder="1" applyAlignment="1">
      <alignment horizontal="justify" vertical="top" wrapText="1"/>
    </xf>
    <xf numFmtId="178" fontId="13" fillId="9" borderId="12" xfId="0" applyNumberFormat="1" applyFont="1" applyFill="1" applyBorder="1" applyAlignment="1">
      <alignment horizontal="right" vertical="top" wrapText="1"/>
    </xf>
    <xf numFmtId="178" fontId="13" fillId="2" borderId="6" xfId="0" applyNumberFormat="1" applyFont="1" applyFill="1" applyBorder="1" applyAlignment="1">
      <alignment horizontal="center" vertical="top" wrapText="1"/>
    </xf>
    <xf numFmtId="0" fontId="18" fillId="2" borderId="29" xfId="0" applyFont="1" applyFill="1" applyBorder="1" applyAlignment="1">
      <alignment vertical="top"/>
    </xf>
    <xf numFmtId="0" fontId="13" fillId="2" borderId="10" xfId="0" applyFont="1" applyFill="1" applyBorder="1"/>
    <xf numFmtId="0" fontId="21" fillId="2" borderId="23" xfId="0" applyFont="1" applyFill="1" applyBorder="1" applyAlignment="1">
      <alignment horizontal="justify" vertical="top" wrapText="1"/>
    </xf>
    <xf numFmtId="178" fontId="14" fillId="2" borderId="30" xfId="0" applyNumberFormat="1" applyFont="1" applyFill="1" applyBorder="1" applyAlignment="1">
      <alignment horizontal="center" vertical="top" wrapText="1"/>
    </xf>
    <xf numFmtId="178" fontId="14" fillId="2" borderId="2" xfId="0" applyNumberFormat="1" applyFont="1" applyFill="1" applyBorder="1" applyAlignment="1">
      <alignment horizontal="center" vertical="top" wrapText="1"/>
    </xf>
    <xf numFmtId="178" fontId="14" fillId="2" borderId="25" xfId="0" applyNumberFormat="1" applyFont="1" applyFill="1" applyBorder="1" applyAlignment="1">
      <alignment horizontal="center" vertical="top" wrapText="1"/>
    </xf>
    <xf numFmtId="178" fontId="14" fillId="2" borderId="0" xfId="0" applyNumberFormat="1" applyFont="1" applyFill="1" applyAlignment="1">
      <alignment horizontal="center" vertical="top" wrapText="1"/>
    </xf>
    <xf numFmtId="178" fontId="13" fillId="2" borderId="31" xfId="0" applyNumberFormat="1" applyFont="1" applyFill="1" applyBorder="1" applyAlignment="1">
      <alignment horizontal="center" vertical="top" wrapText="1"/>
    </xf>
    <xf numFmtId="0" fontId="0" fillId="11" borderId="32" xfId="0" applyFill="1" applyBorder="1" applyAlignment="1">
      <alignment vertical="center"/>
    </xf>
    <xf numFmtId="0" fontId="21" fillId="2" borderId="33" xfId="0" applyFont="1" applyFill="1" applyBorder="1" applyAlignment="1">
      <alignment horizontal="justify" vertical="top" wrapText="1"/>
    </xf>
    <xf numFmtId="178" fontId="14" fillId="2" borderId="10" xfId="0" applyNumberFormat="1" applyFont="1" applyFill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 wrapText="1"/>
    </xf>
    <xf numFmtId="178" fontId="13" fillId="2" borderId="2" xfId="0" applyNumberFormat="1" applyFont="1" applyFill="1" applyBorder="1" applyAlignment="1">
      <alignment horizontal="center" vertical="top" wrapText="1"/>
    </xf>
    <xf numFmtId="179" fontId="19" fillId="0" borderId="7" xfId="0" applyNumberFormat="1" applyFont="1" applyBorder="1" applyAlignment="1">
      <alignment horizontal="center" vertical="top" wrapText="1"/>
    </xf>
    <xf numFmtId="0" fontId="4" fillId="9" borderId="11" xfId="0" applyFont="1" applyFill="1" applyBorder="1" applyAlignment="1">
      <alignment horizontal="justify" vertical="top" wrapText="1"/>
    </xf>
    <xf numFmtId="40" fontId="4" fillId="9" borderId="12" xfId="0" applyNumberFormat="1" applyFont="1" applyFill="1" applyBorder="1" applyAlignment="1">
      <alignment horizontal="right" vertical="top" wrapText="1"/>
    </xf>
    <xf numFmtId="10" fontId="4" fillId="9" borderId="34" xfId="0" applyNumberFormat="1" applyFont="1" applyFill="1" applyBorder="1" applyAlignment="1">
      <alignment horizontal="right" vertical="top" wrapText="1"/>
    </xf>
    <xf numFmtId="0" fontId="0" fillId="11" borderId="35" xfId="0" applyFill="1" applyBorder="1" applyAlignment="1">
      <alignment vertical="center"/>
    </xf>
    <xf numFmtId="0" fontId="2" fillId="2" borderId="36" xfId="0" applyFont="1" applyFill="1" applyBorder="1" applyAlignment="1">
      <alignment horizontal="justify" vertical="top" wrapText="1"/>
    </xf>
    <xf numFmtId="49" fontId="14" fillId="2" borderId="0" xfId="0" applyNumberFormat="1" applyFont="1" applyFill="1" applyAlignment="1">
      <alignment horizontal="right" vertical="top" wrapText="1"/>
    </xf>
    <xf numFmtId="0" fontId="14" fillId="2" borderId="0" xfId="0" applyFont="1" applyFill="1" applyAlignment="1">
      <alignment horizontal="right" vertical="top" wrapText="1"/>
    </xf>
    <xf numFmtId="10" fontId="14" fillId="2" borderId="20" xfId="0" applyNumberFormat="1" applyFont="1" applyFill="1" applyBorder="1" applyAlignment="1">
      <alignment horizontal="right" vertical="top" wrapText="1"/>
    </xf>
    <xf numFmtId="0" fontId="2" fillId="2" borderId="37" xfId="0" applyFont="1" applyFill="1" applyBorder="1" applyAlignment="1">
      <alignment horizontal="justify" vertical="top" wrapText="1"/>
    </xf>
    <xf numFmtId="49" fontId="14" fillId="2" borderId="38" xfId="0" applyNumberFormat="1" applyFont="1" applyFill="1" applyBorder="1" applyAlignment="1">
      <alignment horizontal="right" vertical="top" wrapText="1"/>
    </xf>
    <xf numFmtId="10" fontId="14" fillId="2" borderId="39" xfId="0" applyNumberFormat="1" applyFont="1" applyFill="1" applyBorder="1" applyAlignment="1">
      <alignment horizontal="right" vertical="top" wrapText="1"/>
    </xf>
    <xf numFmtId="0" fontId="13" fillId="2" borderId="0" xfId="0" applyFont="1" applyFill="1"/>
    <xf numFmtId="0" fontId="2" fillId="2" borderId="0" xfId="0" applyFont="1" applyFill="1" applyAlignment="1">
      <alignment horizontal="justify" vertical="top" wrapText="1"/>
    </xf>
    <xf numFmtId="10" fontId="14" fillId="2" borderId="0" xfId="0" applyNumberFormat="1" applyFont="1" applyFill="1" applyAlignment="1">
      <alignment horizontal="right" vertical="top" wrapText="1"/>
    </xf>
    <xf numFmtId="49" fontId="19" fillId="2" borderId="40" xfId="0" applyNumberFormat="1" applyFont="1" applyFill="1" applyBorder="1" applyAlignment="1">
      <alignment horizontal="right" vertical="top" wrapText="1"/>
    </xf>
    <xf numFmtId="0" fontId="13" fillId="9" borderId="11" xfId="0" applyFont="1" applyFill="1" applyBorder="1" applyAlignment="1">
      <alignment horizontal="justify" vertical="top" wrapText="1"/>
    </xf>
    <xf numFmtId="40" fontId="19" fillId="2" borderId="40" xfId="0" applyNumberFormat="1" applyFont="1" applyFill="1" applyBorder="1" applyAlignment="1">
      <alignment horizontal="right" vertical="top" wrapText="1"/>
    </xf>
    <xf numFmtId="0" fontId="14" fillId="2" borderId="4" xfId="0" applyFont="1" applyFill="1" applyBorder="1" applyAlignment="1">
      <alignment horizontal="justify" wrapText="1"/>
    </xf>
    <xf numFmtId="0" fontId="2" fillId="2" borderId="4" xfId="0" applyFont="1" applyFill="1" applyBorder="1" applyAlignment="1">
      <alignment horizontal="justify" vertical="top" wrapText="1"/>
    </xf>
    <xf numFmtId="178" fontId="14" fillId="2" borderId="4" xfId="0" applyNumberFormat="1" applyFont="1" applyFill="1" applyBorder="1" applyAlignment="1">
      <alignment horizontal="center" vertical="top" wrapText="1"/>
    </xf>
    <xf numFmtId="9" fontId="14" fillId="2" borderId="4" xfId="0" applyNumberFormat="1" applyFont="1" applyFill="1" applyBorder="1" applyAlignment="1">
      <alignment horizontal="justify" vertical="top" wrapText="1"/>
    </xf>
    <xf numFmtId="0" fontId="14" fillId="2" borderId="4" xfId="0" applyFont="1" applyFill="1" applyBorder="1" applyAlignment="1">
      <alignment horizontal="justify" vertical="top" wrapText="1"/>
    </xf>
    <xf numFmtId="0" fontId="22" fillId="6" borderId="4" xfId="0" applyFont="1" applyFill="1" applyBorder="1"/>
    <xf numFmtId="0" fontId="23" fillId="8" borderId="0" xfId="0" applyFont="1" applyFill="1"/>
    <xf numFmtId="0" fontId="24" fillId="8" borderId="0" xfId="0" applyFont="1" applyFill="1"/>
    <xf numFmtId="0" fontId="0" fillId="8" borderId="0" xfId="0" applyFill="1"/>
    <xf numFmtId="0" fontId="22" fillId="13" borderId="4" xfId="0" applyFont="1" applyFill="1" applyBorder="1"/>
    <xf numFmtId="0" fontId="0" fillId="13" borderId="4" xfId="0" applyFill="1" applyBorder="1"/>
  </cellXfs>
  <cellStyles count="3">
    <cellStyle name="百分比 2" xfId="2" xr:uid="{59D1C3BF-3581-4929-9BF5-18ED319E8107}"/>
    <cellStyle name="常规" xfId="0" builtinId="0"/>
    <cellStyle name="常规 2" xfId="1" xr:uid="{02A5F919-BDD4-48CB-9F40-C679E655B976}"/>
  </cellStyles>
  <dxfs count="15">
    <dxf>
      <fill>
        <patternFill patternType="solid">
          <fgColor indexed="64"/>
          <bgColor rgb="FF8CAF47"/>
        </patternFill>
      </fill>
      <border diagonalUp="0" diagonalDown="0" outline="0">
        <left/>
        <right style="thin">
          <color indexed="64"/>
        </right>
        <top/>
        <bottom/>
      </border>
    </dxf>
    <dxf>
      <numFmt numFmtId="177" formatCode="0.00_);[Red]\(0.00\)"/>
      <fill>
        <patternFill patternType="solid">
          <fgColor theme="0" tint="-0.14999847407452621"/>
          <bgColor rgb="FFE8F9FE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numFmt numFmtId="177" formatCode="0.00_);[Red]\(0.00\)"/>
      <fill>
        <patternFill patternType="solid">
          <fgColor theme="0" tint="-0.14999847407452621"/>
          <bgColor rgb="FFE8F9FE"/>
        </patternFill>
      </fill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77" formatCode="0.00_);[Red]\(0.00\)"/>
      <fill>
        <patternFill patternType="solid">
          <fgColor theme="0" tint="-0.14999847407452621"/>
          <bgColor rgb="FFE8F9FE"/>
        </patternFill>
      </fill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77" formatCode="0.00_);[Red]\(0.00\)"/>
      <fill>
        <patternFill patternType="solid">
          <fgColor theme="0" tint="-0.14999847407452621"/>
          <bgColor rgb="FFE8F9FE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indexed="64"/>
          <bgColor rgb="FF8CAF47"/>
        </patternFill>
      </fill>
      <border diagonalUp="0" diagonalDown="0" outline="0">
        <left/>
        <right style="thin">
          <color indexed="64"/>
        </right>
        <top/>
        <bottom/>
      </border>
    </dxf>
    <dxf>
      <numFmt numFmtId="177" formatCode="0.00_);[Red]\(0.00\)"/>
      <fill>
        <patternFill patternType="solid">
          <fgColor theme="0" tint="-0.14999847407452621"/>
          <bgColor rgb="FFE8F9FE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numFmt numFmtId="177" formatCode="0.00_);[Red]\(0.00\)"/>
      <fill>
        <patternFill patternType="solid">
          <fgColor theme="0" tint="-0.14999847407452621"/>
          <bgColor rgb="FFE8F9FE"/>
        </patternFill>
      </fill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77" formatCode="0.00_);[Red]\(0.00\)"/>
      <fill>
        <patternFill patternType="solid">
          <fgColor theme="0" tint="-0.14999847407452621"/>
          <bgColor rgb="FFE8F9FE"/>
        </patternFill>
      </fill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77" formatCode="0.00_);[Red]\(0.00\)"/>
      <fill>
        <patternFill patternType="solid">
          <fgColor theme="0" tint="-0.14999847407452621"/>
          <bgColor rgb="FFE8F9FE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indexed="64"/>
          <bgColor rgb="FF8CAF47"/>
        </patternFill>
      </fill>
      <border diagonalUp="0" diagonalDown="0" outline="0">
        <left/>
        <right style="thin">
          <color indexed="64"/>
        </right>
        <top/>
        <bottom/>
      </border>
    </dxf>
    <dxf>
      <numFmt numFmtId="177" formatCode="0.00_);[Red]\(0.00\)"/>
      <fill>
        <patternFill patternType="solid">
          <fgColor theme="0" tint="-0.14999847407452621"/>
          <bgColor rgb="FFE8F9FE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numFmt numFmtId="177" formatCode="0.00_);[Red]\(0.00\)"/>
      <fill>
        <patternFill patternType="solid">
          <fgColor theme="0" tint="-0.14999847407452621"/>
          <bgColor rgb="FFE8F9FE"/>
        </patternFill>
      </fill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77" formatCode="0.00_);[Red]\(0.00\)"/>
      <fill>
        <patternFill patternType="solid">
          <fgColor theme="0" tint="-0.14999847407452621"/>
          <bgColor rgb="FFE8F9FE"/>
        </patternFill>
      </fill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77" formatCode="0.00_);[Red]\(0.00\)"/>
      <fill>
        <patternFill patternType="solid">
          <fgColor theme="0" tint="-0.14999847407452621"/>
          <bgColor rgb="FFE8F9FE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mruColors>
      <color rgb="FFCEE1F2"/>
      <color rgb="FFDEDE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EB13BB-1D8B-4937-BDB1-9D5970D5CBFD}" name="表5_8135333" displayName="表5_8135333" ref="K22:O32" totalsRowShown="0">
  <tableColumns count="5">
    <tableColumn id="1" xr3:uid="{A18C1A0A-A229-42F1-8224-EC7000DB2618}" name="经营现金净额(亿元)" dataDxfId="14"/>
    <tableColumn id="3" xr3:uid="{A767B752-231F-48C3-BCCC-1E2BE0ED12F9}" name="折旧与摊销(亿元)" dataDxfId="13"/>
    <tableColumn id="4" xr3:uid="{6EB0AE6F-1481-46C0-A3BC-40239A281092}" name="资本开支(亿元)" dataDxfId="12"/>
    <tableColumn id="5" xr3:uid="{7F9DB813-AB95-4808-926B-114A860EB40D}" name="自由现金流总和(亿元)" dataDxfId="11">
      <calculatedColumnFormula>(AVERAGE(N13:N18))*(1+$C$10)</calculatedColumnFormula>
    </tableColumn>
    <tableColumn id="6" xr3:uid="{D57205F9-8192-4132-8503-3034E05CC6C6}" name="年份" dataDxfId="1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6915E7-F64A-4F22-85AE-DDB6996074C5}" name="表5_813533" displayName="表5_813533" ref="K21:O31" totalsRowShown="0">
  <tableColumns count="5">
    <tableColumn id="1" xr3:uid="{250C5639-5924-44FD-B55C-E0509861156A}" name="经营现金净额(亿元)" dataDxfId="9"/>
    <tableColumn id="3" xr3:uid="{B2024711-4DD7-4875-8D14-AE8B720F8A8E}" name="折旧与摊销(亿元)" dataDxfId="8"/>
    <tableColumn id="4" xr3:uid="{48F4B5F3-0AF6-43AC-A9C5-0BD62E2F8D0B}" name="资本开支(亿元)" dataDxfId="7"/>
    <tableColumn id="5" xr3:uid="{7BC40F6A-D188-4169-A7AB-FA4372847331}" name="自由现金流总和(亿元)" dataDxfId="6">
      <calculatedColumnFormula>K22-#REF!-L22-M22</calculatedColumnFormula>
    </tableColumn>
    <tableColumn id="6" xr3:uid="{89E6C1FA-8D7F-43FB-A382-0477168F0C06}" name="年份" dataDxfId="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93486A-1136-49FF-9F6A-09477044BA63}" name="表5_81353334" displayName="表5_81353334" ref="K22:O32" totalsRowShown="0">
  <tableColumns count="5">
    <tableColumn id="1" xr3:uid="{E6027B6A-9777-44F4-948F-460DC048BE78}" name="经营现金净额(亿元)" dataDxfId="4"/>
    <tableColumn id="3" xr3:uid="{1602FC01-2B0B-41CC-B244-AC23BD9DB45A}" name="折旧与摊销(亿元)" dataDxfId="3"/>
    <tableColumn id="4" xr3:uid="{BBC6BADC-8494-4491-B2A5-7688B1D56796}" name="资本开支(亿元)" dataDxfId="2"/>
    <tableColumn id="5" xr3:uid="{7C7582E9-8832-4098-8D5E-6B55EA36BADB}" name="自由现金流总和(亿元)" dataDxfId="1">
      <calculatedColumnFormula>(AVERAGE(N13:N18))*(1+$C$10)</calculatedColumnFormula>
    </tableColumn>
    <tableColumn id="6" xr3:uid="{7EDB45C8-9070-4490-ADDB-CB57AB3FEC8D}" name="年份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8"/>
  <sheetViews>
    <sheetView topLeftCell="A130" zoomScaleNormal="100" workbookViewId="0">
      <selection activeCell="G114" sqref="G114"/>
    </sheetView>
  </sheetViews>
  <sheetFormatPr defaultColWidth="8.9140625" defaultRowHeight="14"/>
  <cols>
    <col min="1" max="1" width="8.9140625" style="2"/>
    <col min="2" max="2" width="16.08203125" style="2" bestFit="1" customWidth="1"/>
    <col min="3" max="4" width="18" style="2" bestFit="1" customWidth="1"/>
    <col min="5" max="5" width="19.6640625" style="2" bestFit="1" customWidth="1"/>
    <col min="6" max="7" width="15.6640625" style="2" bestFit="1" customWidth="1"/>
    <col min="8" max="16384" width="8.9140625" style="2"/>
  </cols>
  <sheetData>
    <row r="1" spans="1:7" ht="20">
      <c r="A1" s="109" t="s">
        <v>78</v>
      </c>
      <c r="B1" s="110"/>
      <c r="C1" s="110"/>
      <c r="D1" s="111"/>
    </row>
    <row r="3" spans="1:7" ht="17.5">
      <c r="B3" s="9" t="s">
        <v>0</v>
      </c>
    </row>
    <row r="5" spans="1:7">
      <c r="B5" s="7" t="s">
        <v>1</v>
      </c>
      <c r="C5" s="4">
        <v>2019</v>
      </c>
      <c r="D5" s="4">
        <v>2020</v>
      </c>
      <c r="E5" s="4">
        <v>2021</v>
      </c>
    </row>
    <row r="6" spans="1:7">
      <c r="B6" s="7" t="s">
        <v>12</v>
      </c>
      <c r="C6" s="3">
        <v>122094897000</v>
      </c>
      <c r="D6" s="3">
        <v>152190891000</v>
      </c>
      <c r="E6" s="3">
        <v>208868944000</v>
      </c>
    </row>
    <row r="7" spans="1:7">
      <c r="B7" s="7" t="s">
        <v>11</v>
      </c>
      <c r="C7" s="3">
        <v>113335500000</v>
      </c>
      <c r="D7" s="3">
        <v>138986900000</v>
      </c>
      <c r="E7" s="3">
        <v>184007900000</v>
      </c>
    </row>
    <row r="8" spans="1:7">
      <c r="B8" s="7" t="s">
        <v>10</v>
      </c>
      <c r="C8" s="3">
        <f>C6-C7</f>
        <v>8759397000</v>
      </c>
      <c r="D8" s="3">
        <f>D6-D7</f>
        <v>13203991000</v>
      </c>
      <c r="E8" s="3">
        <f>E6-E7</f>
        <v>24861044000</v>
      </c>
    </row>
    <row r="9" spans="1:7">
      <c r="B9" s="7" t="s">
        <v>7</v>
      </c>
      <c r="C9" s="6">
        <f>((D6-C6)/ABS(C6)+(E6-D6)/ABS(D6))/2</f>
        <v>0.30945548307506743</v>
      </c>
    </row>
    <row r="10" spans="1:7">
      <c r="B10" s="7" t="s">
        <v>8</v>
      </c>
      <c r="C10" s="6">
        <f>((D7-C7)/ABS(C7)+(E7-D7)/ABS(D7))/2</f>
        <v>0.2751270848578472</v>
      </c>
    </row>
    <row r="11" spans="1:7">
      <c r="B11" s="7" t="s">
        <v>9</v>
      </c>
      <c r="C11" s="6">
        <f>((D8-C8)/ABS(C8)+(E8-D8)/ABS(D8))/2</f>
        <v>0.69512591077497055</v>
      </c>
    </row>
    <row r="12" spans="1:7">
      <c r="B12" s="5" t="s">
        <v>79</v>
      </c>
    </row>
    <row r="14" spans="1:7">
      <c r="B14" s="8" t="s">
        <v>90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</row>
    <row r="15" spans="1:7">
      <c r="B15" s="7" t="s">
        <v>12</v>
      </c>
      <c r="C15" s="3">
        <f>E6*(1+$C$9*(1-10%))</f>
        <v>267041019968.4093</v>
      </c>
      <c r="D15" s="3">
        <f>C15*(1+$C$9*(1-10%))</f>
        <v>341414597020.07385</v>
      </c>
      <c r="E15" s="3">
        <f>D15*(1+$C$9*(1-10%))</f>
        <v>436501954164.8277</v>
      </c>
      <c r="F15" s="3">
        <f>E15*(1+$C$9*(1-10%))</f>
        <v>558072084945.18665</v>
      </c>
      <c r="G15" s="3">
        <f>F15*(1+$C$9*(1-10%))</f>
        <v>713500704918.86719</v>
      </c>
    </row>
    <row r="16" spans="1:7">
      <c r="B16" s="7" t="s">
        <v>11</v>
      </c>
      <c r="C16" s="3">
        <f>E7*(1+$C$10*(1+3%))</f>
        <v>236152223831.34872</v>
      </c>
      <c r="D16" s="3">
        <f>C16*(1+$C$10*(1+3%))</f>
        <v>303073252944.52808</v>
      </c>
      <c r="E16" s="3">
        <f>D16*(1+$C$10*(1+3%))</f>
        <v>388958423342.9715</v>
      </c>
      <c r="F16" s="3">
        <f>E16*(1+$C$10*(1+3%))</f>
        <v>499181810402.58539</v>
      </c>
      <c r="G16" s="3">
        <f>F16*(1+$C$10*(1+3%))</f>
        <v>640640399802.01514</v>
      </c>
    </row>
    <row r="17" spans="2:7">
      <c r="B17" s="7" t="s">
        <v>10</v>
      </c>
      <c r="C17" s="3">
        <f>C15-C16</f>
        <v>30888796137.060577</v>
      </c>
      <c r="D17" s="3">
        <f>D15-D16</f>
        <v>38341344075.545776</v>
      </c>
      <c r="E17" s="3">
        <f>E15-E16</f>
        <v>47543530821.856201</v>
      </c>
      <c r="F17" s="3">
        <f t="shared" ref="F17:G17" si="0">F15-F16</f>
        <v>58890274542.601257</v>
      </c>
      <c r="G17" s="3">
        <f t="shared" si="0"/>
        <v>72860305116.852051</v>
      </c>
    </row>
    <row r="18" spans="2:7">
      <c r="B18" s="7" t="s">
        <v>9</v>
      </c>
      <c r="C18" s="6">
        <f>(((D17-C17)/C17)+((E17-D17)/D17)+((F17-E17)/E17)+((G17-F17)/F17))/4</f>
        <v>0.23928965058290921</v>
      </c>
      <c r="D18" s="3"/>
      <c r="E18" s="3"/>
      <c r="F18" s="3"/>
      <c r="G18" s="3"/>
    </row>
    <row r="19" spans="2:7">
      <c r="B19" s="5" t="s">
        <v>80</v>
      </c>
      <c r="C19" s="6"/>
    </row>
    <row r="21" spans="2:7">
      <c r="B21" s="8" t="s">
        <v>92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</row>
    <row r="22" spans="2:7">
      <c r="B22" s="7" t="s">
        <v>12</v>
      </c>
      <c r="C22" s="3">
        <f>E6*(1+C9)</f>
        <v>273504583964.89917</v>
      </c>
      <c r="D22" s="3">
        <f>C22*(1+$C$9)</f>
        <v>358142077119.00238</v>
      </c>
      <c r="E22" s="3">
        <f>D22*(1+$C$9)</f>
        <v>468971106603.37128</v>
      </c>
      <c r="F22" s="3">
        <f>E22*(1+$C$9)</f>
        <v>614096786945.56641</v>
      </c>
      <c r="G22" s="3">
        <f>F22*(1+$C$9)</f>
        <v>804132404804.65332</v>
      </c>
    </row>
    <row r="23" spans="2:7">
      <c r="B23" s="7" t="s">
        <v>11</v>
      </c>
      <c r="C23" s="3">
        <f>E7*(1+$C$10*(1+3%))</f>
        <v>236152223831.34872</v>
      </c>
      <c r="D23" s="3">
        <f>C23*(1+$C$10*(1+3%))</f>
        <v>303073252944.52808</v>
      </c>
      <c r="E23" s="3">
        <f t="shared" ref="E23:G23" si="1">D23*(1+$C$10*(1+3%))</f>
        <v>388958423342.9715</v>
      </c>
      <c r="F23" s="3">
        <f t="shared" si="1"/>
        <v>499181810402.58539</v>
      </c>
      <c r="G23" s="3">
        <f t="shared" si="1"/>
        <v>640640399802.01514</v>
      </c>
    </row>
    <row r="24" spans="2:7">
      <c r="B24" s="7" t="s">
        <v>10</v>
      </c>
      <c r="C24" s="3">
        <f>C22-C23</f>
        <v>37352360133.550446</v>
      </c>
      <c r="D24" s="3">
        <f t="shared" ref="D24:G24" si="2">D22-D23</f>
        <v>55068824174.474304</v>
      </c>
      <c r="E24" s="3">
        <f t="shared" si="2"/>
        <v>80012683260.39978</v>
      </c>
      <c r="F24" s="3">
        <f t="shared" si="2"/>
        <v>114914976542.98102</v>
      </c>
      <c r="G24" s="3">
        <f t="shared" si="2"/>
        <v>163492005002.63818</v>
      </c>
    </row>
    <row r="25" spans="2:7">
      <c r="B25" s="7" t="s">
        <v>9</v>
      </c>
      <c r="C25" s="6">
        <f>(((D24-C24)/C24)+((E24-D24)/D24)+((F24-E24)/E24)+((G24-F24)/F24))/4</f>
        <v>0.4465488256227666</v>
      </c>
    </row>
    <row r="26" spans="2:7">
      <c r="B26" s="5" t="s">
        <v>81</v>
      </c>
    </row>
    <row r="27" spans="2:7">
      <c r="C27" s="6"/>
    </row>
    <row r="28" spans="2:7">
      <c r="B28" s="8" t="s">
        <v>93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</row>
    <row r="29" spans="2:7">
      <c r="B29" s="7" t="s">
        <v>12</v>
      </c>
      <c r="C29" s="3">
        <f>E6*(1+$C$9*(1+10%))</f>
        <v>279968147961.38916</v>
      </c>
      <c r="D29" s="3">
        <f>C29*(1+$C$9*(1+10%))</f>
        <v>375269594281.71521</v>
      </c>
      <c r="E29" s="3">
        <f t="shared" ref="E29:G29" si="3">D29*(1+$C$9*(1+10%))</f>
        <v>503011751221.73126</v>
      </c>
      <c r="F29" s="3">
        <f t="shared" si="3"/>
        <v>674237470135.16345</v>
      </c>
      <c r="G29" s="3">
        <f t="shared" si="3"/>
        <v>903748600365.95068</v>
      </c>
    </row>
    <row r="30" spans="2:7">
      <c r="B30" s="7" t="s">
        <v>11</v>
      </c>
      <c r="C30" s="3">
        <f>E7*(1+$C$10*(1+3%))</f>
        <v>236152223831.34872</v>
      </c>
      <c r="D30" s="3">
        <f>C30*(1+$C$10*(1+3%))</f>
        <v>303073252944.52808</v>
      </c>
      <c r="E30" s="3">
        <f t="shared" ref="E30:G30" si="4">D30*(1+$C$10*(1+3%))</f>
        <v>388958423342.9715</v>
      </c>
      <c r="F30" s="3">
        <f t="shared" si="4"/>
        <v>499181810402.58539</v>
      </c>
      <c r="G30" s="3">
        <f t="shared" si="4"/>
        <v>640640399802.01514</v>
      </c>
    </row>
    <row r="31" spans="2:7">
      <c r="B31" s="7" t="s">
        <v>10</v>
      </c>
      <c r="C31" s="3">
        <f>C29-C30</f>
        <v>43815924130.040436</v>
      </c>
      <c r="D31" s="3">
        <f t="shared" ref="D31" si="5">D29-D30</f>
        <v>72196341337.187134</v>
      </c>
      <c r="E31" s="3">
        <f t="shared" ref="E31" si="6">E29-E30</f>
        <v>114053327878.75977</v>
      </c>
      <c r="F31" s="3">
        <f t="shared" ref="F31" si="7">F29-F30</f>
        <v>175055659732.57806</v>
      </c>
      <c r="G31" s="3">
        <f t="shared" ref="G31" si="8">G29-G30</f>
        <v>263108200563.93555</v>
      </c>
    </row>
    <row r="32" spans="2:7">
      <c r="B32" s="7" t="s">
        <v>9</v>
      </c>
      <c r="C32" s="6">
        <f>(((D31-C31)/C31)+((E31-D31)/D31)+((F31-E31)/E31)+((G31-F31)/F31))/4</f>
        <v>0.56633516163854447</v>
      </c>
    </row>
    <row r="33" spans="2:7">
      <c r="B33" s="5" t="s">
        <v>82</v>
      </c>
    </row>
    <row r="37" spans="2:7" ht="17.5">
      <c r="B37" s="9" t="s">
        <v>13</v>
      </c>
    </row>
    <row r="39" spans="2:7">
      <c r="B39" s="7" t="s">
        <v>1</v>
      </c>
      <c r="C39" s="4">
        <v>2019</v>
      </c>
      <c r="D39" s="4">
        <v>2020</v>
      </c>
      <c r="E39" s="4">
        <v>2021</v>
      </c>
    </row>
    <row r="40" spans="2:7">
      <c r="B40" s="7" t="s">
        <v>12</v>
      </c>
      <c r="C40" s="3">
        <v>62087998000</v>
      </c>
      <c r="D40" s="3">
        <v>67410453000</v>
      </c>
      <c r="E40" s="3">
        <v>84980097000</v>
      </c>
    </row>
    <row r="41" spans="2:7">
      <c r="B41" s="7" t="s">
        <v>11</v>
      </c>
      <c r="C41" s="3">
        <v>55134300000</v>
      </c>
      <c r="D41" s="3">
        <v>58804800000</v>
      </c>
      <c r="E41" s="3">
        <v>73888600000</v>
      </c>
    </row>
    <row r="42" spans="2:7">
      <c r="B42" s="7" t="s">
        <v>10</v>
      </c>
      <c r="C42" s="3">
        <f>C40-C41</f>
        <v>6953698000</v>
      </c>
      <c r="D42" s="3">
        <f>D40-D41</f>
        <v>8605653000</v>
      </c>
      <c r="E42" s="3">
        <f>E40-E41</f>
        <v>11091497000</v>
      </c>
    </row>
    <row r="43" spans="2:7">
      <c r="B43" s="7" t="s">
        <v>7</v>
      </c>
      <c r="C43" s="6">
        <f>((D40-C40)/ABS(C40)+(E40-D40)/ABS(D40))/2</f>
        <v>0.17318058331002897</v>
      </c>
    </row>
    <row r="44" spans="2:7">
      <c r="B44" s="7" t="s">
        <v>8</v>
      </c>
      <c r="C44" s="6">
        <f>((D41-C41)/ABS(C41)+(E41-D41)/ABS(D41))/2</f>
        <v>0.16154003705591316</v>
      </c>
    </row>
    <row r="45" spans="2:7">
      <c r="B45" s="7" t="s">
        <v>9</v>
      </c>
      <c r="C45" s="6">
        <f>((D42-C42)/ABS(C42)+(E42-D42)/ABS(D42))/2</f>
        <v>0.26321335676283869</v>
      </c>
    </row>
    <row r="46" spans="2:7">
      <c r="B46" s="5" t="s">
        <v>79</v>
      </c>
    </row>
    <row r="48" spans="2:7">
      <c r="B48" s="8" t="s">
        <v>90</v>
      </c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</row>
    <row r="49" spans="2:7">
      <c r="B49" s="7" t="s">
        <v>12</v>
      </c>
      <c r="C49" s="3">
        <f>E40*(1+$C$43*(1-5%))</f>
        <v>98961154629.792694</v>
      </c>
      <c r="D49" s="3">
        <f>C49*(1+$C$43*(1-5%))</f>
        <v>115242397589.4231</v>
      </c>
      <c r="E49" s="3">
        <f t="shared" ref="E49:G49" si="9">D49*(1+$C$43*(1-5%))</f>
        <v>134202255944.17653</v>
      </c>
      <c r="F49" s="3">
        <f t="shared" si="9"/>
        <v>156281419661.81412</v>
      </c>
      <c r="G49" s="3">
        <f t="shared" si="9"/>
        <v>181993081708.48889</v>
      </c>
    </row>
    <row r="50" spans="2:7">
      <c r="B50" s="7" t="s">
        <v>11</v>
      </c>
      <c r="C50" s="3">
        <f>E41*(1+$C$44*(1+3%))</f>
        <v>86182646197.469833</v>
      </c>
      <c r="D50" s="3">
        <f>C50*(1+$C$44*(1+3%))</f>
        <v>100522252493.59525</v>
      </c>
      <c r="E50" s="3">
        <f t="shared" ref="E50:G50" si="10">D50*(1+$C$44*(1+3%))</f>
        <v>117247771938.13727</v>
      </c>
      <c r="F50" s="3">
        <f t="shared" si="10"/>
        <v>136756187644.45554</v>
      </c>
      <c r="G50" s="3">
        <f t="shared" si="10"/>
        <v>159510535252.75763</v>
      </c>
    </row>
    <row r="51" spans="2:7">
      <c r="B51" s="7" t="s">
        <v>10</v>
      </c>
      <c r="C51" s="3">
        <f>C49-C50</f>
        <v>12778508432.322861</v>
      </c>
      <c r="D51" s="3">
        <f>D49-D50</f>
        <v>14720145095.82785</v>
      </c>
      <c r="E51" s="3">
        <f>E49-E50</f>
        <v>16954484006.039261</v>
      </c>
      <c r="F51" s="3">
        <f t="shared" ref="F51" si="11">F49-F50</f>
        <v>19525232017.358582</v>
      </c>
      <c r="G51" s="3">
        <f t="shared" ref="G51" si="12">G49-G50</f>
        <v>22482546455.731262</v>
      </c>
    </row>
    <row r="52" spans="2:7">
      <c r="B52" s="7" t="s">
        <v>9</v>
      </c>
      <c r="C52" s="6">
        <f>(((D51-C51)/C51)+((E51-D51)/D51)+((F51-E51)/E51)+((G51-F51)/F51))/4</f>
        <v>0.15170523057614232</v>
      </c>
      <c r="D52" s="3"/>
      <c r="E52" s="3"/>
      <c r="F52" s="3"/>
      <c r="G52" s="3"/>
    </row>
    <row r="53" spans="2:7">
      <c r="B53" s="5" t="s">
        <v>83</v>
      </c>
      <c r="C53" s="6"/>
    </row>
    <row r="55" spans="2:7">
      <c r="B55" s="8" t="s">
        <v>92</v>
      </c>
      <c r="C55" s="1" t="s">
        <v>2</v>
      </c>
      <c r="D55" s="1" t="s">
        <v>3</v>
      </c>
      <c r="E55" s="1" t="s">
        <v>4</v>
      </c>
      <c r="F55" s="1" t="s">
        <v>5</v>
      </c>
      <c r="G55" s="1" t="s">
        <v>6</v>
      </c>
    </row>
    <row r="56" spans="2:7">
      <c r="B56" s="7" t="s">
        <v>12</v>
      </c>
      <c r="C56" s="3">
        <f>E40*(1+C43)</f>
        <v>99696999768.20285</v>
      </c>
      <c r="D56" s="3">
        <f>C56*(1+$C$43)</f>
        <v>116962584342.32005</v>
      </c>
      <c r="E56" s="3">
        <f t="shared" ref="E56:G56" si="13">D56*(1+$C$43)</f>
        <v>137218232924.17151</v>
      </c>
      <c r="F56" s="3">
        <f t="shared" si="13"/>
        <v>160981766542.75098</v>
      </c>
      <c r="G56" s="3">
        <f t="shared" si="13"/>
        <v>188860682774.9035</v>
      </c>
    </row>
    <row r="57" spans="2:7">
      <c r="B57" s="7" t="s">
        <v>11</v>
      </c>
      <c r="C57" s="3">
        <f>E41*(1+$C$44*(1+3%))</f>
        <v>86182646197.469833</v>
      </c>
      <c r="D57" s="3">
        <f>C57*(1+$C$44*(1+3%))</f>
        <v>100522252493.59525</v>
      </c>
      <c r="E57" s="3">
        <f t="shared" ref="E57:G57" si="14">D57*(1+$C$44*(1+3%))</f>
        <v>117247771938.13727</v>
      </c>
      <c r="F57" s="3">
        <f t="shared" si="14"/>
        <v>136756187644.45554</v>
      </c>
      <c r="G57" s="3">
        <f t="shared" si="14"/>
        <v>159510535252.75763</v>
      </c>
    </row>
    <row r="58" spans="2:7">
      <c r="B58" s="7" t="s">
        <v>10</v>
      </c>
      <c r="C58" s="3">
        <f>C56-C57</f>
        <v>13514353570.733017</v>
      </c>
      <c r="D58" s="3">
        <f t="shared" ref="D58" si="15">D56-D57</f>
        <v>16440331848.724808</v>
      </c>
      <c r="E58" s="3">
        <f t="shared" ref="E58" si="16">E56-E57</f>
        <v>19970460986.034241</v>
      </c>
      <c r="F58" s="3">
        <f t="shared" ref="F58" si="17">F56-F57</f>
        <v>24225578898.295441</v>
      </c>
      <c r="G58" s="3">
        <f t="shared" ref="G58" si="18">G56-G57</f>
        <v>29350147522.145874</v>
      </c>
    </row>
    <row r="59" spans="2:7">
      <c r="B59" s="7" t="s">
        <v>9</v>
      </c>
      <c r="C59" s="6">
        <f>(((D58-C58)/C58)+((E58-D58)/D58)+((F58-E58)/E58)+((G58-F58)/F58))/4</f>
        <v>0.21395967117836706</v>
      </c>
    </row>
    <row r="60" spans="2:7">
      <c r="B60" s="5" t="s">
        <v>81</v>
      </c>
    </row>
    <row r="61" spans="2:7">
      <c r="C61" s="6"/>
    </row>
    <row r="62" spans="2:7">
      <c r="B62" s="8" t="s">
        <v>93</v>
      </c>
      <c r="C62" s="1" t="s">
        <v>2</v>
      </c>
      <c r="D62" s="1" t="s">
        <v>3</v>
      </c>
      <c r="E62" s="1" t="s">
        <v>4</v>
      </c>
      <c r="F62" s="1" t="s">
        <v>5</v>
      </c>
      <c r="G62" s="1" t="s">
        <v>6</v>
      </c>
    </row>
    <row r="63" spans="2:7">
      <c r="B63" s="7" t="s">
        <v>12</v>
      </c>
      <c r="C63" s="3">
        <f>E40*(1+$C$43*(1+5%))</f>
        <v>100432844906.61298</v>
      </c>
      <c r="D63" s="3">
        <f>C63*(1+$C$43*(1+5%))</f>
        <v>118695514504.24652</v>
      </c>
      <c r="E63" s="3">
        <f t="shared" ref="E63:G63" si="19">D63*(1+$C$43*(1+5%))</f>
        <v>140279060864.28241</v>
      </c>
      <c r="F63" s="3">
        <f t="shared" si="19"/>
        <v>165787350930.27487</v>
      </c>
      <c r="G63" s="3">
        <f t="shared" si="19"/>
        <v>195934058576.78082</v>
      </c>
    </row>
    <row r="64" spans="2:7">
      <c r="B64" s="7" t="s">
        <v>11</v>
      </c>
      <c r="C64" s="3">
        <f>E41*(1+$C$44*(1+3%))</f>
        <v>86182646197.469833</v>
      </c>
      <c r="D64" s="3">
        <f>C64*(1+$C$44*(1+3%))</f>
        <v>100522252493.59525</v>
      </c>
      <c r="E64" s="3">
        <f t="shared" ref="E64:G64" si="20">D64*(1+$C$44*(1+3%))</f>
        <v>117247771938.13727</v>
      </c>
      <c r="F64" s="3">
        <f t="shared" si="20"/>
        <v>136756187644.45554</v>
      </c>
      <c r="G64" s="3">
        <f t="shared" si="20"/>
        <v>159510535252.75763</v>
      </c>
    </row>
    <row r="65" spans="2:7">
      <c r="B65" s="7" t="s">
        <v>10</v>
      </c>
      <c r="C65" s="3">
        <f>C63-C64</f>
        <v>14250198709.143143</v>
      </c>
      <c r="D65" s="3">
        <f t="shared" ref="D65" si="21">D63-D64</f>
        <v>18173262010.651276</v>
      </c>
      <c r="E65" s="3">
        <f t="shared" ref="E65" si="22">E63-E64</f>
        <v>23031288926.145142</v>
      </c>
      <c r="F65" s="3">
        <f t="shared" ref="F65" si="23">F63-F64</f>
        <v>29031163285.819336</v>
      </c>
      <c r="G65" s="3">
        <f t="shared" ref="G65" si="24">G63-G64</f>
        <v>36423523324.023193</v>
      </c>
    </row>
    <row r="66" spans="2:7">
      <c r="B66" s="7" t="s">
        <v>9</v>
      </c>
      <c r="C66" s="6">
        <f>(((D65-C65)/C65)+((E65-D65)/D65)+((F65-E65)/E65)+((G65-F65)/F65))/4</f>
        <v>0.26444029273662439</v>
      </c>
    </row>
    <row r="67" spans="2:7">
      <c r="B67" s="5" t="s">
        <v>84</v>
      </c>
    </row>
    <row r="70" spans="2:7" ht="17.5">
      <c r="B70" s="9" t="s">
        <v>14</v>
      </c>
    </row>
    <row r="72" spans="2:7">
      <c r="B72" s="7" t="s">
        <v>1</v>
      </c>
      <c r="C72" s="4">
        <v>2019</v>
      </c>
      <c r="D72" s="4">
        <v>2020</v>
      </c>
      <c r="E72" s="4">
        <v>2021</v>
      </c>
    </row>
    <row r="73" spans="2:7">
      <c r="B73" s="7" t="s">
        <v>12</v>
      </c>
      <c r="C73" s="3">
        <v>19841569000</v>
      </c>
      <c r="D73" s="3">
        <v>23755285000</v>
      </c>
      <c r="E73" s="3">
        <v>28211739000</v>
      </c>
    </row>
    <row r="74" spans="2:7">
      <c r="B74" s="7" t="s">
        <v>11</v>
      </c>
      <c r="C74" s="3">
        <v>6998100000</v>
      </c>
      <c r="D74" s="3">
        <v>9111000000</v>
      </c>
      <c r="E74" s="3">
        <v>7316600000</v>
      </c>
    </row>
    <row r="75" spans="2:7">
      <c r="B75" s="7" t="s">
        <v>10</v>
      </c>
      <c r="C75" s="3">
        <f>C73-C74</f>
        <v>12843469000</v>
      </c>
      <c r="D75" s="3">
        <f>D73-D74</f>
        <v>14644285000</v>
      </c>
      <c r="E75" s="3">
        <f>E73-E74</f>
        <v>20895139000</v>
      </c>
    </row>
    <row r="76" spans="2:7">
      <c r="B76" s="7" t="s">
        <v>7</v>
      </c>
      <c r="C76" s="6">
        <f>((D73-C73)/ABS(C73)+(E73-D73)/ABS(D73))/2</f>
        <v>0.19242336760200832</v>
      </c>
    </row>
    <row r="77" spans="2:7">
      <c r="B77" s="7" t="s">
        <v>8</v>
      </c>
      <c r="C77" s="6">
        <f>((D74-C74)/ABS(C74)+(E74-D74)/ABS(D74))/2</f>
        <v>5.2488032442429208E-2</v>
      </c>
    </row>
    <row r="78" spans="2:7">
      <c r="B78" s="7" t="s">
        <v>9</v>
      </c>
      <c r="C78" s="6">
        <f>((D75-C75)/ABS(C75)+(E75-D75)/ABS(D75))/2</f>
        <v>0.28352927671209954</v>
      </c>
    </row>
    <row r="79" spans="2:7">
      <c r="B79" s="5" t="s">
        <v>79</v>
      </c>
    </row>
    <row r="81" spans="2:7">
      <c r="B81" s="8" t="s">
        <v>90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</row>
    <row r="82" spans="2:7">
      <c r="B82" s="7" t="s">
        <v>12</v>
      </c>
      <c r="C82" s="3">
        <f>E73*(1+C76*(1-10%))</f>
        <v>33097477041.860027</v>
      </c>
      <c r="D82" s="3">
        <f>C82*(1+$C$76*(1-10%))</f>
        <v>38829332234.232407</v>
      </c>
      <c r="E82" s="3">
        <f t="shared" ref="E82:G82" si="25">D82*(1+$C$76*(1-10%))</f>
        <v>45553836017.455803</v>
      </c>
      <c r="F82" s="3">
        <f t="shared" si="25"/>
        <v>53442896297.757462</v>
      </c>
      <c r="G82" s="3">
        <f t="shared" si="25"/>
        <v>62698192169.774918</v>
      </c>
    </row>
    <row r="83" spans="2:7">
      <c r="B83" s="7" t="s">
        <v>11</v>
      </c>
      <c r="C83" s="3">
        <f>E74*(1+C77*(1+3%))</f>
        <v>7712154956.3133259</v>
      </c>
      <c r="D83" s="3">
        <f>C83*(1+$C$77*(1+3%))</f>
        <v>8129094671.0477819</v>
      </c>
      <c r="E83" s="3">
        <f t="shared" ref="E83:G83" si="26">D83*(1+$C$77*(1+3%))</f>
        <v>8568575261.4139624</v>
      </c>
      <c r="F83" s="3">
        <f t="shared" si="26"/>
        <v>9031815347.4096508</v>
      </c>
      <c r="G83" s="3">
        <f t="shared" si="26"/>
        <v>9520099430.8875847</v>
      </c>
    </row>
    <row r="84" spans="2:7">
      <c r="B84" s="7" t="s">
        <v>10</v>
      </c>
      <c r="C84" s="3">
        <f>C82-C83</f>
        <v>25385322085.5467</v>
      </c>
      <c r="D84" s="3">
        <f>D82-D83</f>
        <v>30700237563.184624</v>
      </c>
      <c r="E84" s="3">
        <f>E82-E83</f>
        <v>36985260756.04184</v>
      </c>
      <c r="F84" s="3">
        <f t="shared" ref="F84" si="27">F82-F83</f>
        <v>44411080950.347809</v>
      </c>
      <c r="G84" s="3">
        <f t="shared" ref="G84" si="28">G82-G83</f>
        <v>53178092738.887329</v>
      </c>
    </row>
    <row r="85" spans="2:7">
      <c r="B85" s="7" t="s">
        <v>9</v>
      </c>
      <c r="C85" s="6">
        <f>(((D84-C84)/C84)+((E84-D84)/D84)+((F84-E84)/E84)+((G84-F84)/F84))/4</f>
        <v>0.20306892648376401</v>
      </c>
      <c r="D85" s="3"/>
      <c r="E85" s="3"/>
      <c r="F85" s="3"/>
      <c r="G85" s="3"/>
    </row>
    <row r="86" spans="2:7">
      <c r="B86" s="5" t="s">
        <v>80</v>
      </c>
      <c r="C86" s="6"/>
    </row>
    <row r="88" spans="2:7">
      <c r="B88" s="8" t="s">
        <v>92</v>
      </c>
      <c r="C88" s="1" t="s">
        <v>2</v>
      </c>
      <c r="D88" s="1" t="s">
        <v>3</v>
      </c>
      <c r="E88" s="1" t="s">
        <v>4</v>
      </c>
      <c r="F88" s="1" t="s">
        <v>5</v>
      </c>
      <c r="G88" s="1" t="s">
        <v>6</v>
      </c>
    </row>
    <row r="89" spans="2:7">
      <c r="B89" s="7" t="s">
        <v>12</v>
      </c>
      <c r="C89" s="3">
        <f>E73*(1+C76)</f>
        <v>33640336824.288918</v>
      </c>
      <c r="D89" s="3">
        <f>C89*(1+$C$76)</f>
        <v>40113523723.284447</v>
      </c>
      <c r="E89" s="3">
        <f t="shared" ref="E89:G89" si="29">D89*(1+$C$76)</f>
        <v>47832303044.501892</v>
      </c>
      <c r="F89" s="3">
        <f t="shared" si="29"/>
        <v>57036355876.484749</v>
      </c>
      <c r="G89" s="3">
        <f t="shared" si="29"/>
        <v>68011483549.984543</v>
      </c>
    </row>
    <row r="90" spans="2:7">
      <c r="B90" s="7" t="s">
        <v>11</v>
      </c>
      <c r="C90" s="3">
        <f>E74*(1+C77*(1+3%))</f>
        <v>7712154956.3133259</v>
      </c>
      <c r="D90" s="3">
        <f>C90*(1+$C$77*(1+3%))</f>
        <v>8129094671.0477819</v>
      </c>
      <c r="E90" s="3">
        <f t="shared" ref="E90:G90" si="30">D90*(1+$C$77*(1+3%))</f>
        <v>8568575261.4139624</v>
      </c>
      <c r="F90" s="3">
        <f t="shared" si="30"/>
        <v>9031815347.4096508</v>
      </c>
      <c r="G90" s="3">
        <f t="shared" si="30"/>
        <v>9520099430.8875847</v>
      </c>
    </row>
    <row r="91" spans="2:7">
      <c r="B91" s="7" t="s">
        <v>10</v>
      </c>
      <c r="C91" s="3">
        <f>C89-C90</f>
        <v>25928181867.975594</v>
      </c>
      <c r="D91" s="3">
        <f t="shared" ref="D91" si="31">D89-D90</f>
        <v>31984429052.236664</v>
      </c>
      <c r="E91" s="3">
        <f t="shared" ref="E91" si="32">E89-E90</f>
        <v>39263727783.087929</v>
      </c>
      <c r="F91" s="3">
        <f t="shared" ref="F91" si="33">F89-F90</f>
        <v>48004540529.075096</v>
      </c>
      <c r="G91" s="3">
        <f t="shared" ref="G91" si="34">G89-G90</f>
        <v>58491384119.096954</v>
      </c>
    </row>
    <row r="92" spans="2:7">
      <c r="B92" s="7" t="s">
        <v>9</v>
      </c>
      <c r="C92" s="6">
        <f>(((D91-C91)/C91)+((E91-D91)/D91)+((F91-E91)/E91)+((G91-F91)/F91))/4</f>
        <v>0.22555996441036419</v>
      </c>
    </row>
    <row r="93" spans="2:7">
      <c r="B93" s="5" t="s">
        <v>81</v>
      </c>
    </row>
    <row r="94" spans="2:7">
      <c r="C94" s="6"/>
    </row>
    <row r="95" spans="2:7">
      <c r="B95" s="8" t="s">
        <v>93</v>
      </c>
      <c r="C95" s="1" t="s">
        <v>2</v>
      </c>
      <c r="D95" s="1" t="s">
        <v>3</v>
      </c>
      <c r="E95" s="1" t="s">
        <v>4</v>
      </c>
      <c r="F95" s="1" t="s">
        <v>5</v>
      </c>
      <c r="G95" s="1" t="s">
        <v>6</v>
      </c>
    </row>
    <row r="96" spans="2:7">
      <c r="B96" s="7" t="s">
        <v>12</v>
      </c>
      <c r="C96" s="3">
        <f>E73*(1+C76*(1+15%))</f>
        <v>34454626497.932251</v>
      </c>
      <c r="D96" s="3">
        <f>C96*(1+$C$76*(1+15%))</f>
        <v>42078983047.163994</v>
      </c>
      <c r="E96" s="3">
        <f t="shared" ref="E96:G96" si="35">D96*(1+$C$76*(1+15%))</f>
        <v>51390509613.84758</v>
      </c>
      <c r="F96" s="3">
        <f t="shared" si="35"/>
        <v>62762554774.929512</v>
      </c>
      <c r="G96" s="3">
        <f t="shared" si="35"/>
        <v>76651084246.391571</v>
      </c>
    </row>
    <row r="97" spans="2:8">
      <c r="B97" s="7" t="s">
        <v>11</v>
      </c>
      <c r="C97" s="3">
        <f>E74*(1+$C$77*(1+3%))</f>
        <v>7712154956.3133259</v>
      </c>
      <c r="D97" s="3">
        <f>C97*(1+$C$77*(1+3%))</f>
        <v>8129094671.0477819</v>
      </c>
      <c r="E97" s="3">
        <f t="shared" ref="E97:G97" si="36">D97*(1+$C$77*(1+3%))</f>
        <v>8568575261.4139624</v>
      </c>
      <c r="F97" s="3">
        <f t="shared" si="36"/>
        <v>9031815347.4096508</v>
      </c>
      <c r="G97" s="3">
        <f t="shared" si="36"/>
        <v>9520099430.8875847</v>
      </c>
      <c r="H97" s="3"/>
    </row>
    <row r="98" spans="2:8">
      <c r="B98" s="7" t="s">
        <v>10</v>
      </c>
      <c r="C98" s="3">
        <f>C96-C97</f>
        <v>26742471541.618927</v>
      </c>
      <c r="D98" s="3">
        <f t="shared" ref="D98" si="37">D96-D97</f>
        <v>33949888376.116211</v>
      </c>
      <c r="E98" s="3">
        <f t="shared" ref="E98" si="38">E96-E97</f>
        <v>42821934352.433617</v>
      </c>
      <c r="F98" s="3">
        <f t="shared" ref="F98" si="39">F96-F97</f>
        <v>53730739427.519859</v>
      </c>
      <c r="G98" s="3">
        <f t="shared" ref="G98" si="40">G96-G97</f>
        <v>67130984815.503983</v>
      </c>
    </row>
    <row r="99" spans="2:8">
      <c r="B99" s="7" t="s">
        <v>9</v>
      </c>
      <c r="C99" s="6">
        <f>(((D98-C98)/C98)+((E98-D98)/D98)+((F98-E98)/E98)+((G98-F98)/F98))/4</f>
        <v>0.25874600341306936</v>
      </c>
    </row>
    <row r="100" spans="2:8">
      <c r="B100" s="5" t="s">
        <v>85</v>
      </c>
    </row>
    <row r="103" spans="2:8" ht="17.5">
      <c r="B103" s="9" t="s">
        <v>15</v>
      </c>
    </row>
    <row r="105" spans="2:8">
      <c r="B105" s="7" t="s">
        <v>1</v>
      </c>
      <c r="C105" s="4">
        <v>2019</v>
      </c>
      <c r="D105" s="4">
        <v>2020</v>
      </c>
      <c r="E105" s="4">
        <v>2021</v>
      </c>
    </row>
    <row r="106" spans="2:8">
      <c r="B106" s="7" t="s">
        <v>12</v>
      </c>
      <c r="C106" s="3">
        <v>1814218000</v>
      </c>
      <c r="D106" s="3">
        <v>2509004000</v>
      </c>
      <c r="E106" s="3">
        <v>6248365000</v>
      </c>
    </row>
    <row r="107" spans="2:8">
      <c r="B107" s="7" t="s">
        <v>11</v>
      </c>
      <c r="C107" s="3">
        <v>1816700000</v>
      </c>
      <c r="D107" s="3">
        <v>2211100000</v>
      </c>
      <c r="E107" s="3">
        <v>4835100000</v>
      </c>
    </row>
    <row r="108" spans="2:8">
      <c r="B108" s="7" t="s">
        <v>10</v>
      </c>
      <c r="C108" s="3">
        <f>C106-C107</f>
        <v>-2482000</v>
      </c>
      <c r="D108" s="3">
        <f>D106-D107</f>
        <v>297904000</v>
      </c>
      <c r="E108" s="3">
        <f>E106-E107</f>
        <v>1413265000</v>
      </c>
    </row>
    <row r="109" spans="2:8">
      <c r="B109" s="7" t="s">
        <v>7</v>
      </c>
      <c r="C109" s="6">
        <f>((D106-C106)/ABS(C106)+(E106-D106)/ABS(D106))/2</f>
        <v>0.93667193311549091</v>
      </c>
      <c r="D109" s="6">
        <v>0.75</v>
      </c>
    </row>
    <row r="110" spans="2:8">
      <c r="B110" s="7" t="s">
        <v>8</v>
      </c>
      <c r="C110" s="6">
        <f>((D107-C107)/ABS(C107)+(E107-D107)/ABS(D107))/2</f>
        <v>0.70191828292932879</v>
      </c>
    </row>
    <row r="111" spans="2:8">
      <c r="B111" s="7" t="s">
        <v>9</v>
      </c>
      <c r="C111" s="6">
        <f>((E108-D108)/ABS(D108))/2</f>
        <v>1.8720141387829636</v>
      </c>
    </row>
    <row r="112" spans="2:8">
      <c r="B112" s="5" t="s">
        <v>79</v>
      </c>
    </row>
    <row r="113" spans="2:7">
      <c r="B113" s="5" t="s">
        <v>16</v>
      </c>
    </row>
    <row r="114" spans="2:7">
      <c r="B114" s="10" t="s">
        <v>94</v>
      </c>
    </row>
    <row r="115" spans="2:7">
      <c r="B115" s="10"/>
    </row>
    <row r="116" spans="2:7">
      <c r="B116" s="8" t="s">
        <v>92</v>
      </c>
      <c r="C116" s="1" t="s">
        <v>2</v>
      </c>
      <c r="D116" s="1" t="s">
        <v>3</v>
      </c>
      <c r="E116" s="1" t="s">
        <v>4</v>
      </c>
      <c r="F116" s="1" t="s">
        <v>5</v>
      </c>
      <c r="G116" s="1" t="s">
        <v>6</v>
      </c>
    </row>
    <row r="117" spans="2:7">
      <c r="B117" s="7" t="s">
        <v>12</v>
      </c>
      <c r="C117" s="3">
        <f>E106*(1+C109)</f>
        <v>12101033123.361174</v>
      </c>
      <c r="D117" s="3">
        <f>C117*(1+$C$109)</f>
        <v>23435731211.71447</v>
      </c>
      <c r="E117" s="3">
        <f>D117*(1+$D$109)</f>
        <v>41012529620.50032</v>
      </c>
      <c r="F117" s="3">
        <f>E117*(1+$D$109)</f>
        <v>71771926835.875565</v>
      </c>
      <c r="G117" s="3">
        <f>F117*(1+$D$109)</f>
        <v>125600871962.78224</v>
      </c>
    </row>
    <row r="118" spans="2:7">
      <c r="B118" s="7" t="s">
        <v>11</v>
      </c>
      <c r="C118" s="3">
        <f>E107*(1+C110*(1+3%))</f>
        <v>8330760442.4853458</v>
      </c>
      <c r="D118" s="3">
        <f>C118*(1+$C$110*(1+3%))</f>
        <v>14353698899.728783</v>
      </c>
      <c r="E118" s="3">
        <f t="shared" ref="E118:G118" si="41">D118*(1+$C$110*(1+3%))</f>
        <v>24731076295.672474</v>
      </c>
      <c r="F118" s="3">
        <f t="shared" si="41"/>
        <v>42611046742.378708</v>
      </c>
      <c r="G118" s="3">
        <f t="shared" si="41"/>
        <v>73417803688.507507</v>
      </c>
    </row>
    <row r="119" spans="2:7">
      <c r="B119" s="7" t="s">
        <v>10</v>
      </c>
      <c r="C119" s="3">
        <f>C117-C118</f>
        <v>3770272680.8758278</v>
      </c>
      <c r="D119" s="3">
        <f>D117-D118</f>
        <v>9082032311.9856873</v>
      </c>
      <c r="E119" s="3">
        <f>E117-E118</f>
        <v>16281453324.827847</v>
      </c>
      <c r="F119" s="3">
        <f t="shared" ref="F119" si="42">F117-F118</f>
        <v>29160880093.496857</v>
      </c>
      <c r="G119" s="3">
        <f t="shared" ref="G119" si="43">G117-G118</f>
        <v>52183068274.274734</v>
      </c>
    </row>
    <row r="120" spans="2:7">
      <c r="B120" s="7" t="s">
        <v>9</v>
      </c>
      <c r="C120" s="6">
        <f>(((D119-C119)/C119)+((E119-D119)/D119)+((F119-E119)/E119)+((G119-F119)/F119))/4</f>
        <v>0.94552525485956918</v>
      </c>
      <c r="D120" s="3"/>
      <c r="E120" s="3"/>
      <c r="F120" s="3"/>
      <c r="G120" s="3"/>
    </row>
    <row r="121" spans="2:7">
      <c r="B121" s="5" t="s">
        <v>81</v>
      </c>
      <c r="C121" s="6"/>
    </row>
    <row r="126" spans="2:7" ht="17.5">
      <c r="B126" s="9" t="s">
        <v>19</v>
      </c>
    </row>
    <row r="128" spans="2:7">
      <c r="B128" s="8" t="s">
        <v>90</v>
      </c>
      <c r="C128" s="1" t="s">
        <v>2</v>
      </c>
      <c r="D128" s="1" t="s">
        <v>3</v>
      </c>
      <c r="E128" s="1" t="s">
        <v>4</v>
      </c>
      <c r="F128" s="1" t="s">
        <v>5</v>
      </c>
      <c r="G128" s="1" t="s">
        <v>6</v>
      </c>
    </row>
    <row r="129" spans="2:7">
      <c r="B129" s="7" t="s">
        <v>17</v>
      </c>
      <c r="C129" s="3">
        <f>C17+C51+C84+C119</f>
        <v>72822899335.805969</v>
      </c>
      <c r="D129" s="3">
        <f>D17+D51+D84+D119</f>
        <v>92843759046.543945</v>
      </c>
      <c r="E129" s="3">
        <f>E17+E51+E84+E119</f>
        <v>117764728908.76515</v>
      </c>
      <c r="F129" s="3">
        <f>F17+F51+F84+F119</f>
        <v>151987467603.8045</v>
      </c>
      <c r="G129" s="3">
        <f>G17+G51+G84+G119</f>
        <v>200704012585.74536</v>
      </c>
    </row>
    <row r="130" spans="2:7">
      <c r="B130" s="7" t="s">
        <v>18</v>
      </c>
      <c r="C130" s="3">
        <v>25023000000</v>
      </c>
      <c r="D130" s="3">
        <v>25023000000</v>
      </c>
      <c r="E130" s="3">
        <v>25023000000</v>
      </c>
      <c r="F130" s="3">
        <v>25023000000</v>
      </c>
      <c r="G130" s="3">
        <v>25023000000</v>
      </c>
    </row>
    <row r="131" spans="2:7">
      <c r="B131" s="7" t="s">
        <v>20</v>
      </c>
      <c r="C131" s="3">
        <f>C129/C130</f>
        <v>2.9102385539625932</v>
      </c>
      <c r="D131" s="3">
        <f t="shared" ref="D131:F131" si="44">D129/D130</f>
        <v>3.7103368519579565</v>
      </c>
      <c r="E131" s="3">
        <f t="shared" si="44"/>
        <v>4.7062593977047174</v>
      </c>
      <c r="F131" s="3">
        <f t="shared" si="44"/>
        <v>6.0739107063023816</v>
      </c>
      <c r="G131" s="3">
        <f>G129/G130</f>
        <v>8.0207813845560221</v>
      </c>
    </row>
    <row r="132" spans="2:7">
      <c r="B132" s="5"/>
    </row>
    <row r="134" spans="2:7">
      <c r="B134" s="8" t="s">
        <v>92</v>
      </c>
      <c r="C134" s="1" t="s">
        <v>2</v>
      </c>
      <c r="D134" s="1" t="s">
        <v>3</v>
      </c>
      <c r="E134" s="1" t="s">
        <v>4</v>
      </c>
      <c r="F134" s="1" t="s">
        <v>5</v>
      </c>
      <c r="G134" s="1" t="s">
        <v>6</v>
      </c>
    </row>
    <row r="135" spans="2:7">
      <c r="B135" s="7" t="s">
        <v>17</v>
      </c>
      <c r="C135" s="3">
        <f>C24+C58+C91+C119</f>
        <v>80565168253.134888</v>
      </c>
      <c r="D135" s="3">
        <f>D24+D58+D91+D119</f>
        <v>112575617387.42146</v>
      </c>
      <c r="E135" s="3">
        <f>E24+E58+E91+E119</f>
        <v>155528325354.34979</v>
      </c>
      <c r="F135" s="3">
        <f>F24+F58+F91+F119</f>
        <v>216305976063.84842</v>
      </c>
      <c r="G135" s="3">
        <f>G24+G58+G91+G119</f>
        <v>303516604918.15576</v>
      </c>
    </row>
    <row r="136" spans="2:7">
      <c r="B136" s="7" t="s">
        <v>18</v>
      </c>
      <c r="C136" s="3">
        <v>25023000000</v>
      </c>
      <c r="D136" s="3">
        <v>25023000000</v>
      </c>
      <c r="E136" s="3">
        <v>25023000000</v>
      </c>
      <c r="F136" s="3">
        <v>25023000000</v>
      </c>
      <c r="G136" s="3">
        <v>25023000000</v>
      </c>
    </row>
    <row r="137" spans="2:7">
      <c r="B137" s="7" t="s">
        <v>20</v>
      </c>
      <c r="C137" s="3">
        <f>C135/C136</f>
        <v>3.2196446570409178</v>
      </c>
      <c r="D137" s="3">
        <f t="shared" ref="D137" si="45">D135/D136</f>
        <v>4.4988857206338757</v>
      </c>
      <c r="E137" s="3">
        <f t="shared" ref="E137" si="46">E135/E136</f>
        <v>6.215414832528066</v>
      </c>
      <c r="F137" s="3">
        <f t="shared" ref="F137" si="47">F135/F136</f>
        <v>8.6442862991587113</v>
      </c>
      <c r="G137" s="3">
        <f>G135/G136</f>
        <v>12.129505052078319</v>
      </c>
    </row>
    <row r="138" spans="2:7">
      <c r="B138" s="5"/>
    </row>
    <row r="140" spans="2:7">
      <c r="B140" s="8" t="s">
        <v>93</v>
      </c>
      <c r="C140" s="1" t="s">
        <v>2</v>
      </c>
      <c r="D140" s="1" t="s">
        <v>3</v>
      </c>
      <c r="E140" s="1" t="s">
        <v>4</v>
      </c>
      <c r="F140" s="1" t="s">
        <v>5</v>
      </c>
      <c r="G140" s="1" t="s">
        <v>6</v>
      </c>
    </row>
    <row r="141" spans="2:7">
      <c r="B141" s="7" t="s">
        <v>17</v>
      </c>
      <c r="C141" s="3">
        <f>C31+C65+C98+C119</f>
        <v>88578867061.678329</v>
      </c>
      <c r="D141" s="3">
        <f>D31+D65+D98+D119</f>
        <v>133401524035.94031</v>
      </c>
      <c r="E141" s="3">
        <f>E31+E65+E98+E119</f>
        <v>196188004482.16638</v>
      </c>
      <c r="F141" s="3">
        <f>F31+F65+F98+F119</f>
        <v>286978442539.41412</v>
      </c>
      <c r="G141" s="3">
        <f>G31+G65+G98+G119</f>
        <v>418845776977.73743</v>
      </c>
    </row>
    <row r="142" spans="2:7">
      <c r="B142" s="7" t="s">
        <v>18</v>
      </c>
      <c r="C142" s="3">
        <v>25023000000</v>
      </c>
      <c r="D142" s="3">
        <v>25023000000</v>
      </c>
      <c r="E142" s="3">
        <v>25023000000</v>
      </c>
      <c r="F142" s="3">
        <v>25023000000</v>
      </c>
      <c r="G142" s="3">
        <v>25023000000</v>
      </c>
    </row>
    <row r="143" spans="2:7">
      <c r="B143" s="7" t="s">
        <v>20</v>
      </c>
      <c r="C143" s="3">
        <f>C141/C142</f>
        <v>3.5398979763289105</v>
      </c>
      <c r="D143" s="3">
        <f t="shared" ref="D143" si="48">D141/D142</f>
        <v>5.3311562976437799</v>
      </c>
      <c r="E143" s="3">
        <f t="shared" ref="E143" si="49">E141/E142</f>
        <v>7.8403070967576385</v>
      </c>
      <c r="F143" s="3">
        <f t="shared" ref="F143" si="50">F141/F142</f>
        <v>11.468586601902814</v>
      </c>
      <c r="G143" s="3">
        <f>G141/G142</f>
        <v>16.738431721925327</v>
      </c>
    </row>
    <row r="144" spans="2:7">
      <c r="B144" s="5"/>
    </row>
    <row r="145" spans="1:7">
      <c r="B145" s="5"/>
    </row>
    <row r="146" spans="1:7">
      <c r="B146" s="8" t="s">
        <v>1</v>
      </c>
      <c r="C146" s="1" t="s">
        <v>2</v>
      </c>
      <c r="D146" s="1" t="s">
        <v>3</v>
      </c>
      <c r="E146" s="1" t="s">
        <v>4</v>
      </c>
      <c r="F146" s="1" t="s">
        <v>5</v>
      </c>
      <c r="G146" s="1" t="s">
        <v>6</v>
      </c>
    </row>
    <row r="147" spans="1:7">
      <c r="B147" s="7" t="s">
        <v>21</v>
      </c>
      <c r="C147" s="3" t="s">
        <v>22</v>
      </c>
      <c r="D147" s="3" t="s">
        <v>23</v>
      </c>
      <c r="E147" s="3" t="s">
        <v>24</v>
      </c>
      <c r="F147" s="3" t="s">
        <v>25</v>
      </c>
      <c r="G147" s="3" t="s">
        <v>26</v>
      </c>
    </row>
    <row r="148" spans="1:7">
      <c r="A148" s="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F912-CC90-460B-AAB2-7C83C58F0367}">
  <dimension ref="A1:AC157"/>
  <sheetViews>
    <sheetView workbookViewId="0">
      <selection activeCell="F6" sqref="F6"/>
    </sheetView>
  </sheetViews>
  <sheetFormatPr defaultColWidth="8.9140625" defaultRowHeight="14"/>
  <cols>
    <col min="1" max="1" width="14.08203125" style="13" bestFit="1" customWidth="1"/>
    <col min="2" max="2" width="28" style="13" bestFit="1" customWidth="1"/>
    <col min="3" max="3" width="20.25" style="13" bestFit="1" customWidth="1"/>
    <col min="4" max="4" width="10.4140625" style="13" bestFit="1" customWidth="1"/>
    <col min="5" max="5" width="16.25" style="13" customWidth="1"/>
    <col min="6" max="6" width="14" style="13" bestFit="1" customWidth="1"/>
    <col min="7" max="7" width="9.9140625" style="13" bestFit="1" customWidth="1"/>
    <col min="8" max="8" width="14.4140625" style="13" customWidth="1"/>
    <col min="9" max="9" width="15.9140625" style="13" customWidth="1"/>
    <col min="10" max="10" width="8.9140625" style="13"/>
    <col min="11" max="11" width="19.75" style="13" bestFit="1" customWidth="1"/>
    <col min="12" max="12" width="17.58203125" style="13" bestFit="1" customWidth="1"/>
    <col min="13" max="13" width="15.33203125" style="13" bestFit="1" customWidth="1"/>
    <col min="14" max="14" width="21.9140625" style="13" bestFit="1" customWidth="1"/>
    <col min="15" max="15" width="19.08203125" style="13" customWidth="1"/>
    <col min="16" max="16384" width="8.9140625" style="13"/>
  </cols>
  <sheetData>
    <row r="1" spans="1:29" ht="17.5">
      <c r="A1" s="108" t="s">
        <v>90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29" ht="17.5">
      <c r="A2" s="112" t="s">
        <v>91</v>
      </c>
      <c r="B2" s="113"/>
      <c r="C2" s="113"/>
      <c r="D2" s="113"/>
      <c r="E2" s="113"/>
      <c r="F2" s="113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29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29">
      <c r="A4" s="11"/>
      <c r="B4" s="11"/>
      <c r="C4" s="11"/>
      <c r="D4" s="11"/>
      <c r="E4" s="11"/>
      <c r="F4" s="11"/>
      <c r="G4" s="11"/>
      <c r="H4" s="11"/>
      <c r="I4" s="12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9">
      <c r="A5" s="14"/>
      <c r="B5" s="14"/>
      <c r="C5" s="14"/>
      <c r="D5" s="14"/>
      <c r="E5" s="14"/>
      <c r="F5" s="14"/>
      <c r="G5" s="14"/>
      <c r="H5" s="14"/>
      <c r="I5" s="14"/>
      <c r="J5" s="15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/>
      <c r="B6" s="17" t="s">
        <v>27</v>
      </c>
      <c r="C6" s="16"/>
      <c r="D6" s="16"/>
      <c r="E6" s="18"/>
      <c r="F6" s="19"/>
      <c r="G6" s="16"/>
      <c r="H6" s="20"/>
      <c r="I6" s="20"/>
      <c r="J6" s="18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>
      <c r="A7" s="21"/>
      <c r="B7" s="22"/>
      <c r="C7" s="22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9" ht="14.4" customHeight="1">
      <c r="A8" s="23"/>
      <c r="B8" s="24" t="s">
        <v>28</v>
      </c>
      <c r="C8" s="25" t="s">
        <v>29</v>
      </c>
      <c r="D8" s="26"/>
      <c r="E8" s="24" t="s">
        <v>28</v>
      </c>
      <c r="F8" s="25" t="s">
        <v>29</v>
      </c>
      <c r="G8" s="27"/>
      <c r="H8" s="24" t="s">
        <v>28</v>
      </c>
      <c r="I8" s="25" t="s">
        <v>29</v>
      </c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spans="1:29" ht="13.75" customHeight="1">
      <c r="A9" s="23"/>
      <c r="B9" s="30" t="s">
        <v>30</v>
      </c>
      <c r="C9" s="31">
        <v>5</v>
      </c>
      <c r="D9" s="26"/>
      <c r="E9" s="30" t="s">
        <v>31</v>
      </c>
      <c r="F9" s="31">
        <v>5</v>
      </c>
      <c r="G9" s="32"/>
      <c r="H9" s="30" t="s">
        <v>32</v>
      </c>
      <c r="I9" s="31" t="s">
        <v>33</v>
      </c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spans="1:29">
      <c r="A10" s="23"/>
      <c r="B10" s="33" t="s">
        <v>34</v>
      </c>
      <c r="C10" s="34">
        <v>0.17</v>
      </c>
      <c r="D10" s="35"/>
      <c r="E10" s="33" t="s">
        <v>35</v>
      </c>
      <c r="F10" s="34">
        <v>0.12</v>
      </c>
      <c r="G10" s="36"/>
      <c r="H10" s="33" t="s">
        <v>36</v>
      </c>
      <c r="I10" s="34">
        <v>0.09</v>
      </c>
      <c r="J10" s="28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9">
      <c r="A11" s="23"/>
      <c r="B11" s="37" t="s">
        <v>37</v>
      </c>
      <c r="C11" s="34">
        <v>0.25</v>
      </c>
      <c r="D11" s="35"/>
      <c r="E11" s="37" t="s">
        <v>37</v>
      </c>
      <c r="F11" s="34">
        <v>0.25</v>
      </c>
      <c r="G11" s="32"/>
      <c r="H11" s="37" t="s">
        <v>37</v>
      </c>
      <c r="I11" s="34">
        <v>0.25</v>
      </c>
      <c r="J11" s="28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9">
      <c r="A12" s="23"/>
      <c r="B12" s="37" t="s">
        <v>38</v>
      </c>
      <c r="C12" s="34">
        <v>3.4799999999999998E-2</v>
      </c>
      <c r="D12" s="35"/>
      <c r="E12" s="37" t="s">
        <v>38</v>
      </c>
      <c r="F12" s="34">
        <f>C12</f>
        <v>3.4799999999999998E-2</v>
      </c>
      <c r="G12" s="32"/>
      <c r="H12" s="37" t="s">
        <v>38</v>
      </c>
      <c r="I12" s="34">
        <f>F12</f>
        <v>3.4799999999999998E-2</v>
      </c>
      <c r="J12" s="15"/>
      <c r="K12" s="38"/>
      <c r="L12" s="39"/>
      <c r="M12" s="38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</row>
    <row r="13" spans="1:29">
      <c r="A13" s="23"/>
      <c r="B13" s="37" t="s">
        <v>39</v>
      </c>
      <c r="C13" s="40" t="s">
        <v>73</v>
      </c>
      <c r="D13" s="35"/>
      <c r="E13" s="37" t="s">
        <v>39</v>
      </c>
      <c r="F13" s="40" t="str">
        <f>C13</f>
        <v>1.15</v>
      </c>
      <c r="G13" s="32"/>
      <c r="H13" s="37" t="s">
        <v>39</v>
      </c>
      <c r="I13" s="40" t="str">
        <f>F13</f>
        <v>1.15</v>
      </c>
      <c r="J13" s="12"/>
      <c r="K13" s="41" t="s">
        <v>40</v>
      </c>
      <c r="L13" s="42" t="s">
        <v>76</v>
      </c>
      <c r="M13" s="42" t="s">
        <v>74</v>
      </c>
      <c r="N13" s="42" t="s">
        <v>41</v>
      </c>
      <c r="O13" s="43" t="s">
        <v>42</v>
      </c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9">
      <c r="A14" s="23"/>
      <c r="B14" s="44" t="s">
        <v>43</v>
      </c>
      <c r="C14" s="34">
        <v>0.1091</v>
      </c>
      <c r="D14" s="35"/>
      <c r="E14" s="44" t="s">
        <v>43</v>
      </c>
      <c r="F14" s="34">
        <f>C14</f>
        <v>0.1091</v>
      </c>
      <c r="G14" s="32"/>
      <c r="H14" s="44" t="s">
        <v>43</v>
      </c>
      <c r="I14" s="34">
        <f>F14</f>
        <v>0.1091</v>
      </c>
      <c r="J14" s="15"/>
      <c r="K14" s="45">
        <v>97.85</v>
      </c>
      <c r="L14" s="45">
        <v>30.62</v>
      </c>
      <c r="M14" s="45">
        <v>71.69</v>
      </c>
      <c r="N14" s="45">
        <f>(K14-L14-M14)</f>
        <v>-4.460000000000008</v>
      </c>
      <c r="O14" s="46">
        <v>2021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9">
      <c r="A15" s="23"/>
      <c r="B15" s="44" t="s">
        <v>44</v>
      </c>
      <c r="C15" s="34">
        <f>C12+C13*(C14-C12)</f>
        <v>0.12024499999999999</v>
      </c>
      <c r="D15" s="35"/>
      <c r="E15" s="44" t="s">
        <v>44</v>
      </c>
      <c r="F15" s="34">
        <f>C12+C13*(C14-C12)</f>
        <v>0.12024499999999999</v>
      </c>
      <c r="G15" s="32"/>
      <c r="H15" s="44" t="s">
        <v>44</v>
      </c>
      <c r="I15" s="34">
        <f>C12+C13*(C14-C12)</f>
        <v>0.12024499999999999</v>
      </c>
      <c r="J15" s="15"/>
      <c r="K15" s="45">
        <v>218.78</v>
      </c>
      <c r="L15" s="45">
        <v>17.079999999999998</v>
      </c>
      <c r="M15" s="45">
        <v>30.26</v>
      </c>
      <c r="N15" s="45">
        <f t="shared" ref="N15:N19" si="0">(K15-L15-M15)</f>
        <v>171.44</v>
      </c>
      <c r="O15" s="46">
        <v>2020</v>
      </c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9">
      <c r="A16" s="23"/>
      <c r="B16" s="44" t="s">
        <v>45</v>
      </c>
      <c r="C16" s="34">
        <v>3.4700000000000002E-2</v>
      </c>
      <c r="D16" s="35"/>
      <c r="E16" s="44" t="s">
        <v>45</v>
      </c>
      <c r="F16" s="34">
        <f>C16</f>
        <v>3.4700000000000002E-2</v>
      </c>
      <c r="G16" s="32"/>
      <c r="H16" s="44" t="s">
        <v>45</v>
      </c>
      <c r="I16" s="34">
        <f>F16</f>
        <v>3.4700000000000002E-2</v>
      </c>
      <c r="J16" s="12"/>
      <c r="K16" s="45">
        <v>238.1</v>
      </c>
      <c r="L16" s="45">
        <v>13.81</v>
      </c>
      <c r="M16" s="45">
        <v>34.049999999999997</v>
      </c>
      <c r="N16" s="45">
        <f t="shared" si="0"/>
        <v>190.24</v>
      </c>
      <c r="O16" s="46">
        <v>2019</v>
      </c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9">
      <c r="A17" s="29"/>
      <c r="B17" s="47" t="s">
        <v>46</v>
      </c>
      <c r="C17" s="48">
        <f>23382956.89*10000</f>
        <v>233829568900</v>
      </c>
      <c r="D17" s="49"/>
      <c r="E17" s="47" t="s">
        <v>46</v>
      </c>
      <c r="F17" s="48">
        <f>C17</f>
        <v>233829568900</v>
      </c>
      <c r="G17" s="32"/>
      <c r="H17" s="47" t="s">
        <v>46</v>
      </c>
      <c r="I17" s="48">
        <f>F17</f>
        <v>233829568900</v>
      </c>
      <c r="J17" s="15"/>
      <c r="K17" s="45">
        <v>-14.15</v>
      </c>
      <c r="L17" s="45">
        <v>7.48</v>
      </c>
      <c r="M17" s="45">
        <v>37.85</v>
      </c>
      <c r="N17" s="45">
        <f t="shared" si="0"/>
        <v>-59.480000000000004</v>
      </c>
      <c r="O17" s="46">
        <v>2018</v>
      </c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9">
      <c r="A18" s="29"/>
      <c r="B18" s="47" t="s">
        <v>47</v>
      </c>
      <c r="C18" s="48">
        <f>(922171.6+2049221.3)*10000</f>
        <v>29713929000</v>
      </c>
      <c r="D18" s="29"/>
      <c r="E18" s="47" t="s">
        <v>47</v>
      </c>
      <c r="F18" s="48">
        <f>C18</f>
        <v>29713929000</v>
      </c>
      <c r="G18" s="29"/>
      <c r="H18" s="47" t="s">
        <v>47</v>
      </c>
      <c r="I18" s="48">
        <f>F18</f>
        <v>29713929000</v>
      </c>
      <c r="J18" s="15"/>
      <c r="K18" s="45">
        <v>-9.9600000000000009</v>
      </c>
      <c r="L18" s="45">
        <v>3.61</v>
      </c>
      <c r="M18" s="45">
        <v>12.18</v>
      </c>
      <c r="N18" s="45">
        <f t="shared" si="0"/>
        <v>-25.75</v>
      </c>
      <c r="O18" s="46">
        <v>2017</v>
      </c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9">
      <c r="A19" s="29"/>
      <c r="B19" s="50" t="s">
        <v>48</v>
      </c>
      <c r="C19" s="51">
        <f>((C15*C17)+(C16*C18))/(C17+C18)</f>
        <v>0.11059999613323981</v>
      </c>
      <c r="D19" s="29"/>
      <c r="E19" s="50" t="s">
        <v>48</v>
      </c>
      <c r="F19" s="51">
        <f>((F15*F17)+(F16*F18))/(F17+F18)</f>
        <v>0.11059999613323981</v>
      </c>
      <c r="G19" s="29"/>
      <c r="H19" s="50" t="s">
        <v>48</v>
      </c>
      <c r="I19" s="51">
        <f>((I15*I17)+(I16*I18))/(I17+I18)</f>
        <v>0.11059999613323981</v>
      </c>
      <c r="J19" s="12"/>
      <c r="K19" s="45">
        <v>47.15</v>
      </c>
      <c r="L19" s="45">
        <v>2.4</v>
      </c>
      <c r="M19" s="45">
        <v>18.260000000000002</v>
      </c>
      <c r="N19" s="45">
        <f t="shared" si="0"/>
        <v>26.49</v>
      </c>
      <c r="O19" s="46">
        <v>2016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9">
      <c r="A20" s="29"/>
      <c r="B20" s="29"/>
      <c r="C20" s="29"/>
      <c r="D20" s="29"/>
      <c r="E20" s="29"/>
      <c r="G20" s="29"/>
      <c r="H20" s="29"/>
      <c r="I20" s="29"/>
      <c r="J20" s="15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</row>
    <row r="21" spans="1:29">
      <c r="A21" s="29"/>
      <c r="B21" s="52"/>
      <c r="C21" s="52"/>
      <c r="D21" s="52"/>
      <c r="E21" s="52"/>
      <c r="F21" s="52"/>
      <c r="G21" s="52"/>
      <c r="H21" s="29"/>
      <c r="I21" s="29"/>
      <c r="J21" s="15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</row>
    <row r="22" spans="1:29" ht="15" customHeight="1">
      <c r="A22" s="23"/>
      <c r="B22" s="53" t="s">
        <v>49</v>
      </c>
      <c r="C22" s="54" t="s">
        <v>50</v>
      </c>
      <c r="D22" s="55" t="s">
        <v>51</v>
      </c>
      <c r="E22" s="54" t="s">
        <v>52</v>
      </c>
      <c r="F22" s="55" t="s">
        <v>53</v>
      </c>
      <c r="G22" s="54" t="s">
        <v>54</v>
      </c>
      <c r="H22" s="29"/>
      <c r="I22" s="29"/>
      <c r="J22" s="12"/>
      <c r="K22" s="56" t="s">
        <v>40</v>
      </c>
      <c r="L22" s="42" t="s">
        <v>76</v>
      </c>
      <c r="M22" s="56" t="s">
        <v>75</v>
      </c>
      <c r="N22" s="56" t="s">
        <v>55</v>
      </c>
      <c r="O22" s="57" t="s">
        <v>56</v>
      </c>
      <c r="P22" s="11"/>
      <c r="Q22" s="11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</row>
    <row r="23" spans="1:29">
      <c r="A23" s="23"/>
      <c r="B23" s="59" t="s">
        <v>57</v>
      </c>
      <c r="C23" s="60">
        <f>AVERAGE(N14:N19)*(1+$C$10)</f>
        <v>58.203600000000002</v>
      </c>
      <c r="D23" s="60">
        <f>C23*(1+$C$10)</f>
        <v>68.098212000000004</v>
      </c>
      <c r="E23" s="60">
        <f>D23*(1+$C$10)</f>
        <v>79.674908040000005</v>
      </c>
      <c r="F23" s="61">
        <f>E23*(1+$C$10)</f>
        <v>93.219642406800006</v>
      </c>
      <c r="G23" s="62">
        <f>F23*(1+$C$10)</f>
        <v>109.066981615956</v>
      </c>
      <c r="H23" s="29"/>
      <c r="I23" s="29"/>
      <c r="J23" s="63"/>
      <c r="K23" s="45">
        <f>K14*(1+$C$10)</f>
        <v>114.48449999999998</v>
      </c>
      <c r="L23" s="45">
        <f>L14*(1+$C$10)</f>
        <v>35.825400000000002</v>
      </c>
      <c r="M23" s="45">
        <f>M14*(1+$C$10)</f>
        <v>83.877299999999991</v>
      </c>
      <c r="N23" s="45">
        <f>(AVERAGE(N13:N19))*(1+$C$10)</f>
        <v>58.203600000000002</v>
      </c>
      <c r="O23" s="64">
        <v>2022</v>
      </c>
      <c r="P23" s="65"/>
      <c r="Q23" s="11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9" ht="14.4" customHeight="1">
      <c r="A24" s="23"/>
      <c r="B24" s="66" t="s">
        <v>58</v>
      </c>
      <c r="C24" s="29">
        <f>C23/(1+$C$19)^1</f>
        <v>52.407347562260625</v>
      </c>
      <c r="D24" s="29">
        <f>D23/(1+$C$19)^2</f>
        <v>55.210333928804296</v>
      </c>
      <c r="E24" s="29">
        <f>E23/(1+$C$19)^3</f>
        <v>58.163236918426364</v>
      </c>
      <c r="F24" s="23">
        <f>F23/(1+$C$19)^4</f>
        <v>61.274074762732752</v>
      </c>
      <c r="G24" s="62">
        <f>G23/(1+$C$19)^5</f>
        <v>64.551294545292365</v>
      </c>
      <c r="H24" s="29"/>
      <c r="I24" s="29"/>
      <c r="J24" s="63"/>
      <c r="K24" s="45">
        <f>K23*(1+$C$10)</f>
        <v>133.94686499999997</v>
      </c>
      <c r="L24" s="45">
        <f>L23*(1+$C$10)</f>
        <v>41.915717999999998</v>
      </c>
      <c r="M24" s="45">
        <f>M23*(1+$C$10)</f>
        <v>98.136440999999991</v>
      </c>
      <c r="N24" s="45">
        <f>N23*(1+$C$10)</f>
        <v>68.098212000000004</v>
      </c>
      <c r="O24" s="67">
        <v>2023</v>
      </c>
      <c r="P24" s="65"/>
      <c r="Q24" s="11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9" ht="15" customHeight="1">
      <c r="A25" s="68"/>
      <c r="B25" s="69" t="s">
        <v>59</v>
      </c>
      <c r="C25" s="70" t="s">
        <v>60</v>
      </c>
      <c r="D25" s="70" t="s">
        <v>61</v>
      </c>
      <c r="E25" s="70" t="s">
        <v>62</v>
      </c>
      <c r="F25" s="70" t="s">
        <v>63</v>
      </c>
      <c r="G25" s="54" t="s">
        <v>64</v>
      </c>
      <c r="H25" s="29"/>
      <c r="I25" s="29"/>
      <c r="J25" s="71"/>
      <c r="K25" s="45">
        <f t="shared" ref="K25:M27" si="1">K24*(1+$C$10)</f>
        <v>156.71783204999997</v>
      </c>
      <c r="L25" s="45">
        <f t="shared" si="1"/>
        <v>49.041390059999998</v>
      </c>
      <c r="M25" s="45">
        <f t="shared" si="1"/>
        <v>114.81963596999998</v>
      </c>
      <c r="N25" s="45">
        <f t="shared" ref="N25:N27" si="2">N24*(1+$C$10)</f>
        <v>79.674908040000005</v>
      </c>
      <c r="O25" s="67">
        <v>2024</v>
      </c>
      <c r="P25" s="28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9" ht="13.25" customHeight="1">
      <c r="A26" s="23"/>
      <c r="B26" s="72" t="s">
        <v>57</v>
      </c>
      <c r="C26" s="52">
        <f>G23*(1+$F$10)</f>
        <v>122.15501940987073</v>
      </c>
      <c r="D26" s="52">
        <f>C26*(1+$F$10)</f>
        <v>136.81362173905524</v>
      </c>
      <c r="E26" s="52">
        <f t="shared" ref="E26:G26" si="3">D26*(1+$F$10)</f>
        <v>153.23125634774189</v>
      </c>
      <c r="F26" s="52">
        <f t="shared" si="3"/>
        <v>171.61900710947094</v>
      </c>
      <c r="G26" s="52">
        <f t="shared" si="3"/>
        <v>192.21328796260747</v>
      </c>
      <c r="H26" s="29"/>
      <c r="I26" s="29"/>
      <c r="J26" s="63"/>
      <c r="K26" s="45">
        <f t="shared" si="1"/>
        <v>183.35986349849995</v>
      </c>
      <c r="L26" s="45">
        <f t="shared" si="1"/>
        <v>57.378426370199996</v>
      </c>
      <c r="M26" s="45">
        <f t="shared" si="1"/>
        <v>134.33897408489997</v>
      </c>
      <c r="N26" s="45">
        <f t="shared" si="2"/>
        <v>93.219642406800006</v>
      </c>
      <c r="O26" s="67">
        <v>2025</v>
      </c>
      <c r="P26" s="73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</row>
    <row r="27" spans="1:29" ht="13.25" customHeight="1">
      <c r="A27" s="23"/>
      <c r="B27" s="74" t="s">
        <v>58</v>
      </c>
      <c r="C27" s="62">
        <f>C26/(1+$C$19)^6</f>
        <v>65.097650047221734</v>
      </c>
      <c r="D27" s="62">
        <f>D26/(1+$C$19)^7</f>
        <v>65.648629845791334</v>
      </c>
      <c r="E27" s="62">
        <f>E26/(1+$C$19)^8</f>
        <v>66.204273080571184</v>
      </c>
      <c r="F27" s="62">
        <f>F26/(1+$C$19)^9</f>
        <v>66.764619222404548</v>
      </c>
      <c r="G27" s="62">
        <f>G26/(1+$C$19)^10</f>
        <v>67.329708076211915</v>
      </c>
      <c r="H27" s="29"/>
      <c r="I27" s="29"/>
      <c r="J27" s="63"/>
      <c r="K27" s="45">
        <f t="shared" si="1"/>
        <v>214.53104029324493</v>
      </c>
      <c r="L27" s="45">
        <f t="shared" si="1"/>
        <v>67.132758853133993</v>
      </c>
      <c r="M27" s="45">
        <f t="shared" si="1"/>
        <v>157.17659967933295</v>
      </c>
      <c r="N27" s="45">
        <f t="shared" si="2"/>
        <v>109.066981615956</v>
      </c>
      <c r="O27" s="67">
        <v>2026</v>
      </c>
      <c r="P27" s="65"/>
      <c r="Q27" s="11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 spans="1:29" ht="15" customHeight="1">
      <c r="A28" s="23"/>
      <c r="B28" s="53" t="s">
        <v>65</v>
      </c>
      <c r="C28" s="54" t="s">
        <v>66</v>
      </c>
      <c r="D28" s="75"/>
      <c r="E28" s="76"/>
      <c r="F28" s="77"/>
      <c r="G28" s="78"/>
      <c r="H28" s="79"/>
      <c r="I28" s="79"/>
      <c r="J28" s="71"/>
      <c r="K28" s="45">
        <f>K27*(1+$F$10)</f>
        <v>240.27476512843435</v>
      </c>
      <c r="L28" s="45">
        <f>L27*(1+$F$10)</f>
        <v>75.188689915510082</v>
      </c>
      <c r="M28" s="45">
        <f>M27*(1+$F$10)</f>
        <v>176.03779164085293</v>
      </c>
      <c r="N28" s="45">
        <f>N27*(1+$F$10)</f>
        <v>122.15501940987073</v>
      </c>
      <c r="O28" s="80">
        <v>2027</v>
      </c>
      <c r="P28" s="65"/>
      <c r="Q28" s="11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 spans="1:29" ht="12" customHeight="1">
      <c r="A29" s="63"/>
      <c r="B29" s="81" t="s">
        <v>58</v>
      </c>
      <c r="C29" s="62">
        <f>(G27*(1+I10))/((C19-I10)*((1+C19)^10))</f>
        <v>1247.9276700124001</v>
      </c>
      <c r="D29" s="82"/>
      <c r="E29" s="15"/>
      <c r="F29" s="83"/>
      <c r="G29" s="84"/>
      <c r="H29" s="63"/>
      <c r="I29" s="63"/>
      <c r="J29" s="63"/>
      <c r="K29" s="45">
        <f t="shared" ref="K29:M32" si="4">K28*(1+$F$10)</f>
        <v>269.10773694384648</v>
      </c>
      <c r="L29" s="45">
        <f t="shared" si="4"/>
        <v>84.211332705371305</v>
      </c>
      <c r="M29" s="45">
        <f t="shared" si="4"/>
        <v>197.16232663775531</v>
      </c>
      <c r="N29" s="45">
        <f t="shared" ref="N29:N32" si="5">N28*(1+$F$10)</f>
        <v>136.81362173905524</v>
      </c>
      <c r="O29" s="80">
        <v>2028</v>
      </c>
      <c r="P29" s="65"/>
      <c r="Q29" s="11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9">
      <c r="A30" s="15"/>
      <c r="B30" s="76"/>
      <c r="C30" s="76"/>
      <c r="D30" s="15"/>
      <c r="E30" s="15"/>
      <c r="F30" s="85"/>
      <c r="G30" s="15"/>
      <c r="H30" s="63"/>
      <c r="I30" s="63"/>
      <c r="J30" s="63"/>
      <c r="K30" s="45">
        <f t="shared" si="4"/>
        <v>301.40066537710806</v>
      </c>
      <c r="L30" s="45">
        <f t="shared" si="4"/>
        <v>94.316692630015865</v>
      </c>
      <c r="M30" s="45">
        <f t="shared" si="4"/>
        <v>220.82180583428598</v>
      </c>
      <c r="N30" s="45">
        <f t="shared" si="5"/>
        <v>153.23125634774189</v>
      </c>
      <c r="O30" s="80">
        <v>2029</v>
      </c>
      <c r="P30" s="65"/>
      <c r="Q30" s="11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9">
      <c r="A31" s="29"/>
      <c r="B31" s="83"/>
      <c r="C31" s="12"/>
      <c r="D31" s="83"/>
      <c r="E31" s="29"/>
      <c r="F31" s="15"/>
      <c r="G31" s="15"/>
      <c r="H31" s="63"/>
      <c r="I31" s="63"/>
      <c r="J31" s="71"/>
      <c r="K31" s="45">
        <f t="shared" si="4"/>
        <v>337.56874522236103</v>
      </c>
      <c r="L31" s="45">
        <f t="shared" si="4"/>
        <v>105.63469574561778</v>
      </c>
      <c r="M31" s="45">
        <f t="shared" si="4"/>
        <v>247.32042253440034</v>
      </c>
      <c r="N31" s="45">
        <f t="shared" si="5"/>
        <v>171.61900710947094</v>
      </c>
      <c r="O31" s="80">
        <v>2030</v>
      </c>
      <c r="P31" s="65"/>
      <c r="Q31" s="11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9">
      <c r="A32" s="29"/>
      <c r="B32" s="86" t="s">
        <v>67</v>
      </c>
      <c r="C32" s="87" t="s">
        <v>68</v>
      </c>
      <c r="D32" s="88" t="s">
        <v>69</v>
      </c>
      <c r="E32" s="29"/>
      <c r="F32" s="15"/>
      <c r="G32" s="15"/>
      <c r="H32" s="29"/>
      <c r="I32" s="23"/>
      <c r="J32" s="63"/>
      <c r="K32" s="45">
        <f t="shared" si="4"/>
        <v>378.07699464904437</v>
      </c>
      <c r="L32" s="45">
        <f t="shared" si="4"/>
        <v>118.31085923509193</v>
      </c>
      <c r="M32" s="45">
        <f t="shared" si="4"/>
        <v>276.9988732385284</v>
      </c>
      <c r="N32" s="45">
        <f t="shared" si="5"/>
        <v>192.21328796260747</v>
      </c>
      <c r="O32" s="89">
        <v>2031</v>
      </c>
      <c r="P32" s="65"/>
      <c r="Q32" s="11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9">
      <c r="A33" s="15"/>
      <c r="B33" s="90" t="s">
        <v>49</v>
      </c>
      <c r="C33" s="91">
        <f>C24+D24+E24+F24+G24</f>
        <v>291.60628771751641</v>
      </c>
      <c r="D33" s="34">
        <f>C33/(C33+C34+C35)</f>
        <v>0.15589093696204123</v>
      </c>
      <c r="E33" s="15"/>
      <c r="F33" s="29"/>
      <c r="G33" s="29"/>
      <c r="H33" s="29"/>
      <c r="I33" s="29"/>
      <c r="J33" s="15"/>
      <c r="K33" s="60"/>
      <c r="L33" s="60"/>
      <c r="M33" s="60"/>
      <c r="N33" s="60"/>
      <c r="O33" s="60"/>
      <c r="P33" s="60"/>
      <c r="Q33" s="11"/>
      <c r="R33" s="11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</row>
    <row r="34" spans="1:29" ht="13.75" customHeight="1">
      <c r="A34" s="15"/>
      <c r="B34" s="90" t="s">
        <v>59</v>
      </c>
      <c r="C34" s="92">
        <f>SUM(C27:G27)</f>
        <v>331.04488027220066</v>
      </c>
      <c r="D34" s="93">
        <f>C34/(C34+C33+C35)</f>
        <v>0.17697456720176258</v>
      </c>
      <c r="E34" s="15"/>
      <c r="F34" s="29"/>
      <c r="G34" s="29"/>
      <c r="H34" s="62"/>
      <c r="I34" s="62"/>
      <c r="J34" s="12"/>
      <c r="K34" s="29"/>
      <c r="L34" s="29"/>
      <c r="M34" s="29"/>
      <c r="N34" s="29"/>
      <c r="O34" s="29"/>
      <c r="P34" s="11"/>
      <c r="Q34" s="11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</row>
    <row r="35" spans="1:29">
      <c r="A35" s="29"/>
      <c r="B35" s="90" t="s">
        <v>65</v>
      </c>
      <c r="C35" s="92">
        <f>C29</f>
        <v>1247.9276700124001</v>
      </c>
      <c r="D35" s="93">
        <f>C35/(C35+C34+C33)</f>
        <v>0.66713449583619611</v>
      </c>
      <c r="E35" s="29"/>
      <c r="F35" s="62"/>
      <c r="G35" s="62"/>
      <c r="H35" s="62"/>
      <c r="I35" s="62"/>
      <c r="J35" s="15"/>
      <c r="K35" s="29"/>
      <c r="L35" s="29"/>
      <c r="M35" s="11"/>
      <c r="N35" s="11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</row>
    <row r="36" spans="1:29">
      <c r="A36" s="29"/>
      <c r="B36" s="94" t="s">
        <v>70</v>
      </c>
      <c r="C36" s="95">
        <f>SUM(C33:C35)</f>
        <v>1870.5788380021172</v>
      </c>
      <c r="D36" s="96">
        <f>(C33+C34+C35)/C36</f>
        <v>1</v>
      </c>
      <c r="E36" s="29"/>
      <c r="F36" s="62"/>
      <c r="G36" s="62"/>
      <c r="H36" s="97"/>
      <c r="I36" s="97"/>
      <c r="J36" s="15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</row>
    <row r="37" spans="1:29" ht="14.4" customHeight="1">
      <c r="A37" s="15"/>
      <c r="B37" s="98"/>
      <c r="C37" s="91"/>
      <c r="D37" s="99"/>
      <c r="E37" s="15"/>
      <c r="F37" s="97"/>
      <c r="G37" s="97"/>
      <c r="H37" s="62"/>
      <c r="I37" s="62"/>
      <c r="J37" s="12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</row>
    <row r="38" spans="1:29">
      <c r="A38" s="15"/>
      <c r="B38" s="29"/>
      <c r="C38" s="29"/>
      <c r="D38" s="29"/>
      <c r="E38" s="15"/>
      <c r="F38" s="62"/>
      <c r="G38" s="62"/>
      <c r="H38" s="62"/>
      <c r="I38" s="62"/>
      <c r="J38" s="15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</row>
    <row r="39" spans="1:29">
      <c r="A39" s="29"/>
      <c r="B39" s="86" t="s">
        <v>71</v>
      </c>
      <c r="C39" s="29"/>
      <c r="D39" s="29"/>
      <c r="E39" s="29"/>
      <c r="F39" s="62"/>
      <c r="G39" s="62"/>
      <c r="H39" s="62"/>
      <c r="I39" s="62"/>
      <c r="J39" s="15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</row>
    <row r="40" spans="1:29">
      <c r="A40" s="62"/>
      <c r="B40" s="100" t="s">
        <v>77</v>
      </c>
      <c r="C40" s="62"/>
      <c r="D40" s="29"/>
      <c r="E40" s="62"/>
      <c r="F40" s="62"/>
      <c r="G40" s="62"/>
      <c r="H40" s="62"/>
      <c r="I40" s="62"/>
      <c r="J40" s="1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</row>
    <row r="41" spans="1:29">
      <c r="A41" s="62"/>
      <c r="B41" s="62"/>
      <c r="C41" s="62"/>
      <c r="D41" s="62"/>
      <c r="E41" s="62"/>
      <c r="F41" s="62"/>
      <c r="G41" s="62"/>
      <c r="H41" s="62"/>
      <c r="I41" s="62"/>
      <c r="J41" s="15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</row>
    <row r="42" spans="1:29">
      <c r="A42" s="62"/>
      <c r="B42" s="101" t="s">
        <v>72</v>
      </c>
      <c r="C42" s="97"/>
      <c r="D42" s="97"/>
      <c r="E42" s="62"/>
      <c r="F42" s="62"/>
      <c r="G42" s="62"/>
      <c r="H42" s="62"/>
      <c r="I42" s="62"/>
      <c r="J42" s="15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</row>
    <row r="43" spans="1:29">
      <c r="A43" s="62"/>
      <c r="B43" s="102">
        <f>C36/B40</f>
        <v>7.4754379490953013</v>
      </c>
      <c r="C43" s="62"/>
      <c r="D43" s="62"/>
      <c r="E43" s="62"/>
      <c r="F43" s="62"/>
      <c r="G43" s="62"/>
      <c r="H43" s="62"/>
      <c r="I43" s="62"/>
      <c r="J43" s="1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</row>
    <row r="44" spans="1:29">
      <c r="A44" s="62"/>
      <c r="B44" s="62"/>
      <c r="C44" s="62"/>
      <c r="D44" s="62"/>
      <c r="E44" s="62"/>
      <c r="F44" s="62"/>
      <c r="G44" s="62"/>
      <c r="H44" s="62"/>
      <c r="I44" s="62"/>
      <c r="J44" s="1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</row>
    <row r="45" spans="1:29">
      <c r="A45" s="62"/>
      <c r="B45" s="62"/>
      <c r="C45" s="62"/>
      <c r="D45" s="62"/>
      <c r="E45" s="62"/>
      <c r="F45" s="62"/>
      <c r="G45" s="62"/>
      <c r="H45" s="62"/>
      <c r="I45" s="62"/>
      <c r="J45" s="1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</row>
    <row r="46" spans="1:29">
      <c r="A46" s="62"/>
      <c r="B46" s="62"/>
      <c r="C46" s="62"/>
      <c r="D46" s="62"/>
      <c r="E46" s="62"/>
      <c r="F46" s="62"/>
      <c r="G46" s="62"/>
      <c r="H46" s="62"/>
      <c r="I46" s="62"/>
      <c r="J46" s="15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</row>
    <row r="47" spans="1:29">
      <c r="A47" s="62"/>
      <c r="B47" s="62"/>
      <c r="C47" s="62"/>
      <c r="D47" s="62"/>
      <c r="E47" s="62"/>
      <c r="F47" s="62"/>
      <c r="G47" s="62"/>
      <c r="H47" s="62"/>
      <c r="I47" s="62"/>
      <c r="J47" s="15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</row>
    <row r="48" spans="1:29">
      <c r="A48" s="62"/>
      <c r="B48" s="62"/>
      <c r="C48" s="62"/>
      <c r="D48" s="62"/>
      <c r="E48" s="62"/>
      <c r="F48" s="62"/>
      <c r="G48" s="62"/>
      <c r="H48" s="62"/>
      <c r="I48" s="62"/>
      <c r="J48" s="1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</row>
    <row r="49" spans="1:29">
      <c r="A49" s="62"/>
      <c r="B49" s="62"/>
      <c r="C49" s="62"/>
      <c r="D49" s="62"/>
      <c r="E49" s="62"/>
      <c r="F49" s="62"/>
      <c r="G49" s="62"/>
      <c r="H49" s="62"/>
      <c r="I49" s="62"/>
      <c r="J49" s="15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</row>
    <row r="50" spans="1:29">
      <c r="A50" s="62"/>
      <c r="B50" s="62"/>
      <c r="C50" s="62"/>
      <c r="D50" s="62"/>
      <c r="E50" s="62"/>
      <c r="F50" s="62"/>
      <c r="G50" s="62"/>
      <c r="H50" s="62"/>
      <c r="I50" s="62"/>
      <c r="J50" s="15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</row>
    <row r="51" spans="1:29">
      <c r="A51" s="62"/>
      <c r="B51" s="62"/>
      <c r="C51" s="62"/>
      <c r="D51" s="62"/>
      <c r="E51" s="62"/>
      <c r="F51" s="62"/>
      <c r="G51" s="62"/>
      <c r="H51" s="11"/>
      <c r="I51" s="11"/>
      <c r="J51" s="1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</row>
    <row r="52" spans="1:29">
      <c r="A52" s="62"/>
      <c r="B52" s="62"/>
      <c r="C52" s="62"/>
      <c r="D52" s="62"/>
      <c r="E52" s="62"/>
      <c r="F52" s="11"/>
      <c r="G52" s="11"/>
      <c r="H52" s="11"/>
      <c r="I52" s="11"/>
      <c r="J52" s="15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>
      <c r="A53" s="11"/>
      <c r="B53" s="11"/>
      <c r="C53" s="11"/>
      <c r="D53" s="11"/>
      <c r="E53" s="11"/>
      <c r="F53" s="11"/>
      <c r="G53" s="11"/>
      <c r="H53" s="11"/>
      <c r="I53" s="11"/>
      <c r="J53" s="15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>
      <c r="A54" s="11"/>
      <c r="B54" s="11"/>
      <c r="C54" s="11"/>
      <c r="D54" s="11"/>
      <c r="E54" s="11"/>
      <c r="F54" s="11"/>
      <c r="G54" s="11"/>
      <c r="H54" s="11"/>
      <c r="I54" s="11"/>
      <c r="J54" s="12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>
      <c r="A55" s="11"/>
      <c r="B55" s="11"/>
      <c r="C55" s="11"/>
      <c r="D55" s="11"/>
      <c r="E55" s="11"/>
      <c r="F55" s="11"/>
      <c r="G55" s="11"/>
      <c r="H55" s="11"/>
      <c r="I55" s="11"/>
      <c r="J55" s="15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>
      <c r="A56" s="11"/>
      <c r="B56" s="11"/>
      <c r="C56" s="11"/>
      <c r="D56" s="11"/>
      <c r="E56" s="11"/>
      <c r="F56" s="11"/>
      <c r="G56" s="11"/>
      <c r="H56" s="103"/>
      <c r="I56" s="103"/>
      <c r="J56" s="15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>
      <c r="A57" s="29"/>
      <c r="B57" s="104"/>
      <c r="C57" s="105"/>
      <c r="D57" s="106"/>
      <c r="E57" s="107"/>
      <c r="F57" s="107"/>
      <c r="G57" s="103"/>
      <c r="H57" s="11"/>
      <c r="I57" s="11"/>
      <c r="J57" s="12"/>
      <c r="K57" s="29"/>
      <c r="L57" s="29"/>
      <c r="M57" s="29"/>
      <c r="N57" s="29"/>
      <c r="O57" s="29"/>
      <c r="P57" s="29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>
      <c r="A58" s="11"/>
      <c r="B58" s="11"/>
      <c r="C58" s="11"/>
      <c r="D58" s="11"/>
      <c r="E58" s="11"/>
      <c r="F58" s="11"/>
      <c r="G58" s="11"/>
      <c r="H58" s="11"/>
      <c r="I58" s="11"/>
      <c r="J58" s="15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>
      <c r="A59" s="11"/>
      <c r="B59" s="11"/>
      <c r="C59" s="11"/>
      <c r="D59" s="11"/>
      <c r="E59" s="11"/>
      <c r="F59" s="11"/>
      <c r="G59" s="11"/>
      <c r="H59" s="11"/>
      <c r="I59" s="11"/>
      <c r="J59" s="15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>
      <c r="A60" s="11"/>
      <c r="B60" s="11"/>
      <c r="C60" s="11"/>
      <c r="D60" s="11"/>
      <c r="E60" s="11"/>
      <c r="F60" s="11"/>
      <c r="G60" s="11"/>
      <c r="H60" s="11"/>
      <c r="I60" s="11"/>
      <c r="J60" s="12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>
      <c r="A61" s="11"/>
      <c r="B61" s="11"/>
      <c r="C61" s="11"/>
      <c r="D61" s="11"/>
      <c r="E61" s="11"/>
      <c r="F61" s="11"/>
      <c r="G61" s="11"/>
      <c r="H61" s="11"/>
      <c r="I61" s="11"/>
      <c r="J61" s="15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>
      <c r="A62" s="11"/>
      <c r="B62" s="11"/>
      <c r="C62" s="11"/>
      <c r="D62" s="11"/>
      <c r="E62" s="11"/>
      <c r="F62" s="11"/>
      <c r="G62" s="11"/>
      <c r="H62" s="11"/>
      <c r="I62" s="11"/>
      <c r="J62" s="15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>
      <c r="A63" s="11"/>
      <c r="B63" s="11"/>
      <c r="C63" s="11"/>
      <c r="D63" s="11"/>
      <c r="E63" s="11"/>
      <c r="F63" s="11"/>
      <c r="G63" s="11"/>
      <c r="H63" s="11"/>
      <c r="I63" s="11"/>
      <c r="J63" s="12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>
      <c r="A64" s="11"/>
      <c r="B64" s="11"/>
      <c r="C64" s="11"/>
      <c r="D64" s="11"/>
      <c r="E64" s="11"/>
      <c r="F64" s="11"/>
      <c r="G64" s="11"/>
      <c r="H64" s="11"/>
      <c r="I64" s="11"/>
      <c r="J64" s="15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>
      <c r="A65" s="11"/>
      <c r="B65" s="11"/>
      <c r="C65" s="11"/>
      <c r="D65" s="11"/>
      <c r="E65" s="11"/>
      <c r="F65" s="11"/>
      <c r="G65" s="11"/>
      <c r="H65" s="11"/>
      <c r="I65" s="11"/>
      <c r="J65" s="15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>
      <c r="A66" s="11"/>
      <c r="B66" s="11"/>
      <c r="C66" s="11"/>
      <c r="D66" s="11"/>
      <c r="E66" s="11"/>
      <c r="F66" s="11"/>
      <c r="G66" s="11"/>
      <c r="H66" s="11"/>
      <c r="I66" s="11"/>
      <c r="J66" s="12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>
      <c r="A67" s="11"/>
      <c r="B67" s="11"/>
      <c r="C67" s="11"/>
      <c r="D67" s="11"/>
      <c r="E67" s="11"/>
      <c r="F67" s="11"/>
      <c r="G67" s="11"/>
      <c r="H67" s="11"/>
      <c r="I67" s="11"/>
      <c r="J67" s="15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>
      <c r="A68" s="11"/>
      <c r="B68" s="11"/>
      <c r="C68" s="11"/>
      <c r="D68" s="11"/>
      <c r="E68" s="11"/>
      <c r="F68" s="11"/>
      <c r="G68" s="11"/>
      <c r="H68" s="11"/>
      <c r="I68" s="11"/>
      <c r="J68" s="15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>
      <c r="A69" s="11"/>
      <c r="B69" s="11"/>
      <c r="C69" s="11"/>
      <c r="D69" s="11"/>
      <c r="E69" s="11"/>
      <c r="F69" s="11"/>
      <c r="G69" s="11"/>
      <c r="H69" s="11"/>
      <c r="I69" s="11"/>
      <c r="J69" s="12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>
      <c r="A70" s="11"/>
      <c r="B70" s="11"/>
      <c r="C70" s="11"/>
      <c r="D70" s="11"/>
      <c r="E70" s="11"/>
      <c r="F70" s="11"/>
      <c r="G70" s="11"/>
      <c r="H70" s="11"/>
      <c r="I70" s="11"/>
      <c r="J70" s="15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>
      <c r="A71" s="11"/>
      <c r="B71" s="11"/>
      <c r="C71" s="11"/>
      <c r="D71" s="11"/>
      <c r="E71" s="11"/>
      <c r="F71" s="11"/>
      <c r="G71" s="11"/>
      <c r="H71" s="11"/>
      <c r="I71" s="11"/>
      <c r="J71" s="15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29">
      <c r="A72" s="11"/>
      <c r="B72" s="11"/>
      <c r="C72" s="11"/>
      <c r="D72" s="11"/>
      <c r="E72" s="11"/>
      <c r="F72" s="11"/>
      <c r="G72" s="11"/>
      <c r="H72" s="11"/>
      <c r="I72" s="11"/>
      <c r="J72" s="12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29">
      <c r="A73" s="11"/>
      <c r="B73" s="11"/>
      <c r="C73" s="11"/>
      <c r="D73" s="11"/>
      <c r="E73" s="11"/>
      <c r="F73" s="11"/>
      <c r="G73" s="11"/>
      <c r="H73" s="11"/>
      <c r="I73" s="11"/>
      <c r="J73" s="15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29">
      <c r="A74" s="11"/>
      <c r="B74" s="11"/>
      <c r="C74" s="11"/>
      <c r="D74" s="11"/>
      <c r="E74" s="11"/>
      <c r="F74" s="11"/>
      <c r="G74" s="11"/>
      <c r="H74" s="11"/>
      <c r="I74" s="11"/>
      <c r="J74" s="15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1:29">
      <c r="A75" s="11"/>
      <c r="B75" s="11"/>
      <c r="C75" s="11"/>
      <c r="D75" s="11"/>
      <c r="E75" s="11"/>
      <c r="F75" s="11"/>
      <c r="G75" s="11"/>
      <c r="H75" s="11"/>
      <c r="I75" s="11"/>
      <c r="J75" s="12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29">
      <c r="A76" s="11"/>
      <c r="B76" s="11"/>
      <c r="C76" s="11"/>
      <c r="D76" s="11"/>
      <c r="E76" s="11"/>
      <c r="F76" s="11"/>
      <c r="G76" s="11"/>
      <c r="H76" s="11"/>
      <c r="I76" s="11"/>
      <c r="J76" s="15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29">
      <c r="A77" s="11"/>
      <c r="B77" s="11"/>
      <c r="C77" s="11"/>
      <c r="D77" s="11"/>
      <c r="E77" s="11"/>
      <c r="F77" s="11"/>
      <c r="G77" s="11"/>
      <c r="H77" s="11"/>
      <c r="I77" s="11"/>
      <c r="J77" s="15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29">
      <c r="A78" s="11"/>
      <c r="B78" s="11"/>
      <c r="C78" s="11"/>
      <c r="D78" s="11"/>
      <c r="E78" s="11"/>
      <c r="F78" s="11"/>
      <c r="G78" s="11"/>
      <c r="H78" s="11"/>
      <c r="I78" s="11"/>
      <c r="J78" s="12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29">
      <c r="A79" s="11"/>
      <c r="B79" s="11"/>
      <c r="C79" s="11"/>
      <c r="D79" s="11"/>
      <c r="E79" s="11"/>
      <c r="F79" s="11"/>
      <c r="G79" s="11"/>
      <c r="H79" s="11"/>
      <c r="I79" s="11"/>
      <c r="J79" s="15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29">
      <c r="A80" s="11"/>
      <c r="B80" s="11"/>
      <c r="C80" s="11"/>
      <c r="D80" s="11"/>
      <c r="E80" s="11"/>
      <c r="F80" s="11"/>
      <c r="G80" s="11"/>
      <c r="H80" s="11"/>
      <c r="I80" s="11"/>
      <c r="J80" s="15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1:29">
      <c r="A81" s="11"/>
      <c r="B81" s="11"/>
      <c r="C81" s="11"/>
      <c r="D81" s="11"/>
      <c r="E81" s="11"/>
      <c r="F81" s="11"/>
      <c r="G81" s="11"/>
      <c r="H81" s="11"/>
      <c r="I81" s="11"/>
      <c r="J81" s="12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1:29">
      <c r="A82" s="11"/>
      <c r="B82" s="11"/>
      <c r="C82" s="11"/>
      <c r="D82" s="11"/>
      <c r="E82" s="11"/>
      <c r="F82" s="11"/>
      <c r="G82" s="11"/>
      <c r="H82" s="11"/>
      <c r="I82" s="11"/>
      <c r="J82" s="15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pans="1:29">
      <c r="A83" s="11"/>
      <c r="B83" s="11"/>
      <c r="C83" s="11"/>
      <c r="D83" s="11"/>
      <c r="E83" s="11"/>
      <c r="F83" s="11"/>
      <c r="G83" s="11"/>
      <c r="H83" s="11"/>
      <c r="I83" s="11"/>
      <c r="J83" s="15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spans="1:29">
      <c r="A84" s="11"/>
      <c r="B84" s="11"/>
      <c r="C84" s="11"/>
      <c r="D84" s="11"/>
      <c r="E84" s="11"/>
      <c r="F84" s="11"/>
      <c r="G84" s="11"/>
      <c r="H84" s="11"/>
      <c r="I84" s="11"/>
      <c r="J84" s="12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spans="1:29">
      <c r="A85" s="11"/>
      <c r="B85" s="11"/>
      <c r="C85" s="11"/>
      <c r="D85" s="11"/>
      <c r="E85" s="11"/>
      <c r="F85" s="11"/>
      <c r="G85" s="11"/>
      <c r="H85" s="11"/>
      <c r="I85" s="11"/>
      <c r="J85" s="15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pans="1:29">
      <c r="A86" s="11"/>
      <c r="B86" s="11"/>
      <c r="C86" s="11"/>
      <c r="D86" s="11"/>
      <c r="E86" s="11"/>
      <c r="F86" s="11"/>
      <c r="G86" s="11"/>
      <c r="H86" s="11"/>
      <c r="I86" s="11"/>
      <c r="J86" s="15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29">
      <c r="A87" s="11"/>
      <c r="B87" s="11"/>
      <c r="C87" s="11"/>
      <c r="D87" s="11"/>
      <c r="E87" s="11"/>
      <c r="F87" s="11"/>
      <c r="G87" s="11"/>
      <c r="H87" s="11"/>
      <c r="I87" s="11"/>
      <c r="J87" s="12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29">
      <c r="A88" s="11"/>
      <c r="B88" s="11"/>
      <c r="C88" s="11"/>
      <c r="D88" s="11"/>
      <c r="E88" s="11"/>
      <c r="F88" s="11"/>
      <c r="G88" s="11"/>
      <c r="H88" s="11"/>
      <c r="I88" s="11"/>
      <c r="J88" s="15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pans="1:29">
      <c r="A89" s="11"/>
      <c r="B89" s="11"/>
      <c r="C89" s="11"/>
      <c r="D89" s="11"/>
      <c r="E89" s="11"/>
      <c r="F89" s="11"/>
      <c r="G89" s="11"/>
      <c r="H89" s="11"/>
      <c r="I89" s="11"/>
      <c r="J89" s="15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>
      <c r="A90" s="11"/>
      <c r="B90" s="11"/>
      <c r="C90" s="11"/>
      <c r="D90" s="11"/>
      <c r="E90" s="11"/>
      <c r="F90" s="11"/>
      <c r="G90" s="11"/>
      <c r="H90" s="11"/>
      <c r="I90" s="11"/>
      <c r="J90" s="12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>
      <c r="A91" s="11"/>
      <c r="B91" s="11"/>
      <c r="C91" s="11"/>
      <c r="D91" s="11"/>
      <c r="E91" s="11"/>
      <c r="F91" s="11"/>
      <c r="G91" s="11"/>
      <c r="H91" s="11"/>
      <c r="I91" s="11"/>
      <c r="J91" s="15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29">
      <c r="A92" s="11"/>
      <c r="B92" s="11"/>
      <c r="C92" s="11"/>
      <c r="D92" s="11"/>
      <c r="E92" s="11"/>
      <c r="F92" s="11"/>
      <c r="G92" s="11"/>
      <c r="H92" s="11"/>
      <c r="I92" s="11"/>
      <c r="J92" s="15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>
      <c r="A93" s="11"/>
      <c r="B93" s="11"/>
      <c r="C93" s="11"/>
      <c r="D93" s="11"/>
      <c r="E93" s="11"/>
      <c r="F93" s="11"/>
      <c r="G93" s="11"/>
      <c r="H93" s="11"/>
      <c r="I93" s="11"/>
      <c r="J93" s="12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>
      <c r="A94" s="11"/>
      <c r="B94" s="11"/>
      <c r="C94" s="11"/>
      <c r="D94" s="11"/>
      <c r="E94" s="11"/>
      <c r="F94" s="11"/>
      <c r="G94" s="11"/>
      <c r="H94" s="11"/>
      <c r="I94" s="11"/>
      <c r="J94" s="15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>
      <c r="A95" s="11"/>
      <c r="B95" s="11"/>
      <c r="C95" s="11"/>
      <c r="D95" s="11"/>
      <c r="E95" s="11"/>
      <c r="F95" s="11"/>
      <c r="G95" s="11"/>
      <c r="H95" s="11"/>
      <c r="I95" s="11"/>
      <c r="J95" s="15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29">
      <c r="A96" s="11"/>
      <c r="B96" s="11"/>
      <c r="C96" s="11"/>
      <c r="D96" s="11"/>
      <c r="E96" s="11"/>
      <c r="F96" s="11"/>
      <c r="G96" s="11"/>
      <c r="H96" s="11"/>
      <c r="I96" s="11"/>
      <c r="J96" s="12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>
      <c r="A97" s="11"/>
      <c r="B97" s="11"/>
      <c r="C97" s="11"/>
      <c r="D97" s="11"/>
      <c r="E97" s="11"/>
      <c r="F97" s="11"/>
      <c r="G97" s="11"/>
      <c r="H97" s="11"/>
      <c r="I97" s="11"/>
      <c r="J97" s="15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pans="1:29">
      <c r="A98" s="11"/>
      <c r="B98" s="11"/>
      <c r="C98" s="11"/>
      <c r="D98" s="11"/>
      <c r="E98" s="11"/>
      <c r="F98" s="11"/>
      <c r="G98" s="11"/>
      <c r="H98" s="11"/>
      <c r="I98" s="11"/>
      <c r="J98" s="15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>
      <c r="A99" s="11"/>
      <c r="B99" s="11"/>
      <c r="C99" s="11"/>
      <c r="D99" s="11"/>
      <c r="E99" s="11"/>
      <c r="F99" s="11"/>
      <c r="G99" s="11"/>
      <c r="H99" s="11"/>
      <c r="I99" s="11"/>
      <c r="J99" s="12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>
      <c r="A100" s="11"/>
      <c r="B100" s="11"/>
      <c r="C100" s="11"/>
      <c r="D100" s="11"/>
      <c r="E100" s="11"/>
      <c r="F100" s="11"/>
      <c r="G100" s="11"/>
      <c r="H100" s="11"/>
      <c r="I100" s="11"/>
      <c r="J100" s="15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>
      <c r="A101" s="11"/>
      <c r="B101" s="11"/>
      <c r="C101" s="11"/>
      <c r="D101" s="11"/>
      <c r="E101" s="11"/>
      <c r="F101" s="11"/>
      <c r="G101" s="11"/>
      <c r="H101" s="11"/>
      <c r="I101" s="11"/>
      <c r="J101" s="15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>
      <c r="A102" s="11"/>
      <c r="B102" s="11"/>
      <c r="C102" s="11"/>
      <c r="D102" s="11"/>
      <c r="E102" s="11"/>
      <c r="F102" s="11"/>
      <c r="G102" s="11"/>
      <c r="H102" s="11"/>
      <c r="I102" s="11"/>
      <c r="J102" s="12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>
      <c r="A103" s="11"/>
      <c r="B103" s="11"/>
      <c r="C103" s="11"/>
      <c r="D103" s="11"/>
      <c r="E103" s="11"/>
      <c r="F103" s="11"/>
      <c r="G103" s="11"/>
      <c r="H103" s="11"/>
      <c r="I103" s="11"/>
      <c r="J103" s="15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29">
      <c r="A104" s="11"/>
      <c r="B104" s="11"/>
      <c r="C104" s="11"/>
      <c r="D104" s="11"/>
      <c r="E104" s="11"/>
      <c r="F104" s="11"/>
      <c r="G104" s="11"/>
      <c r="H104" s="11"/>
      <c r="I104" s="11"/>
      <c r="J104" s="15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>
      <c r="A105" s="11"/>
      <c r="B105" s="11"/>
      <c r="C105" s="11"/>
      <c r="D105" s="11"/>
      <c r="E105" s="11"/>
      <c r="F105" s="11"/>
      <c r="G105" s="11"/>
      <c r="H105" s="11"/>
      <c r="I105" s="11"/>
      <c r="J105" s="12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pans="1:29">
      <c r="A106" s="11"/>
      <c r="B106" s="11"/>
      <c r="C106" s="11"/>
      <c r="D106" s="11"/>
      <c r="E106" s="11"/>
      <c r="F106" s="11"/>
      <c r="G106" s="11"/>
      <c r="H106" s="11"/>
      <c r="I106" s="11"/>
      <c r="J106" s="15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pans="1:29">
      <c r="A107" s="11"/>
      <c r="B107" s="11"/>
      <c r="C107" s="11"/>
      <c r="D107" s="11"/>
      <c r="E107" s="11"/>
      <c r="F107" s="11"/>
      <c r="G107" s="11"/>
      <c r="H107" s="11"/>
      <c r="I107" s="11"/>
      <c r="J107" s="15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pans="1:29">
      <c r="A108" s="11"/>
      <c r="B108" s="11"/>
      <c r="C108" s="11"/>
      <c r="D108" s="11"/>
      <c r="E108" s="11"/>
      <c r="F108" s="11"/>
      <c r="G108" s="11"/>
      <c r="H108" s="11"/>
      <c r="I108" s="11"/>
      <c r="J108" s="12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29">
      <c r="A109" s="11"/>
      <c r="B109" s="11"/>
      <c r="C109" s="11"/>
      <c r="D109" s="11"/>
      <c r="E109" s="11"/>
      <c r="F109" s="11"/>
      <c r="G109" s="11"/>
      <c r="H109" s="11"/>
      <c r="I109" s="11"/>
      <c r="J109" s="15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pans="1:29">
      <c r="A110" s="11"/>
      <c r="B110" s="11"/>
      <c r="C110" s="11"/>
      <c r="D110" s="11"/>
      <c r="E110" s="11"/>
      <c r="F110" s="11"/>
      <c r="G110" s="11"/>
      <c r="H110" s="11"/>
      <c r="I110" s="11"/>
      <c r="J110" s="15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29">
      <c r="A111" s="11"/>
      <c r="B111" s="11"/>
      <c r="C111" s="11"/>
      <c r="D111" s="11"/>
      <c r="E111" s="11"/>
      <c r="F111" s="11"/>
      <c r="G111" s="11"/>
      <c r="H111" s="11"/>
      <c r="I111" s="11"/>
      <c r="J111" s="12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pans="1:29">
      <c r="A112" s="11"/>
      <c r="B112" s="11"/>
      <c r="C112" s="11"/>
      <c r="D112" s="11"/>
      <c r="E112" s="11"/>
      <c r="F112" s="11"/>
      <c r="G112" s="11"/>
      <c r="H112" s="11"/>
      <c r="I112" s="11"/>
      <c r="J112" s="15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pans="1:29">
      <c r="A113" s="11"/>
      <c r="B113" s="11"/>
      <c r="C113" s="11"/>
      <c r="D113" s="11"/>
      <c r="E113" s="11"/>
      <c r="F113" s="11"/>
      <c r="G113" s="11"/>
      <c r="H113" s="11"/>
      <c r="I113" s="11"/>
      <c r="J113" s="15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29">
      <c r="A114" s="11"/>
      <c r="B114" s="11"/>
      <c r="C114" s="11"/>
      <c r="D114" s="11"/>
      <c r="E114" s="11"/>
      <c r="F114" s="11"/>
      <c r="G114" s="11"/>
      <c r="H114" s="11"/>
      <c r="I114" s="11"/>
      <c r="J114" s="12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pans="1:29">
      <c r="A115" s="11"/>
      <c r="B115" s="11"/>
      <c r="C115" s="11"/>
      <c r="D115" s="11"/>
      <c r="E115" s="11"/>
      <c r="F115" s="11"/>
      <c r="G115" s="11"/>
      <c r="H115" s="11"/>
      <c r="I115" s="11"/>
      <c r="J115" s="15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>
      <c r="A116" s="11"/>
      <c r="B116" s="11"/>
      <c r="C116" s="11"/>
      <c r="D116" s="11"/>
      <c r="E116" s="11"/>
      <c r="F116" s="11"/>
      <c r="G116" s="11"/>
      <c r="H116" s="11"/>
      <c r="I116" s="11"/>
      <c r="J116" s="15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>
      <c r="A117" s="11"/>
      <c r="B117" s="11"/>
      <c r="C117" s="11"/>
      <c r="D117" s="11"/>
      <c r="E117" s="11"/>
      <c r="F117" s="11"/>
      <c r="G117" s="11"/>
      <c r="H117" s="11"/>
      <c r="I117" s="11"/>
      <c r="J117" s="12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pans="1:29">
      <c r="A118" s="11"/>
      <c r="B118" s="11"/>
      <c r="C118" s="11"/>
      <c r="D118" s="11"/>
      <c r="E118" s="11"/>
      <c r="F118" s="11"/>
      <c r="G118" s="11"/>
      <c r="H118" s="11"/>
      <c r="I118" s="11"/>
      <c r="J118" s="15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pans="1:29">
      <c r="A119" s="11"/>
      <c r="B119" s="11"/>
      <c r="C119" s="11"/>
      <c r="D119" s="11"/>
      <c r="E119" s="11"/>
      <c r="F119" s="11"/>
      <c r="G119" s="11"/>
      <c r="H119" s="11"/>
      <c r="I119" s="11"/>
      <c r="J119" s="15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pans="1:29">
      <c r="A120" s="11"/>
      <c r="B120" s="11"/>
      <c r="C120" s="11"/>
      <c r="D120" s="11"/>
      <c r="E120" s="11"/>
      <c r="F120" s="11"/>
      <c r="G120" s="11"/>
      <c r="H120" s="11"/>
      <c r="I120" s="11"/>
      <c r="J120" s="12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29">
      <c r="A121" s="11"/>
      <c r="B121" s="11"/>
      <c r="C121" s="11"/>
      <c r="D121" s="11"/>
      <c r="E121" s="11"/>
      <c r="F121" s="11"/>
      <c r="G121" s="11"/>
      <c r="H121" s="11"/>
      <c r="I121" s="11"/>
      <c r="J121" s="15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29">
      <c r="A122" s="11"/>
      <c r="B122" s="11"/>
      <c r="C122" s="11"/>
      <c r="D122" s="11"/>
      <c r="E122" s="11"/>
      <c r="F122" s="11"/>
      <c r="G122" s="11"/>
      <c r="H122" s="11"/>
      <c r="I122" s="11"/>
      <c r="J122" s="15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pans="1:29">
      <c r="A123" s="11"/>
      <c r="B123" s="11"/>
      <c r="C123" s="11"/>
      <c r="D123" s="11"/>
      <c r="E123" s="11"/>
      <c r="F123" s="11"/>
      <c r="G123" s="11"/>
      <c r="H123" s="11"/>
      <c r="I123" s="11"/>
      <c r="J123" s="12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>
      <c r="A124" s="11"/>
      <c r="B124" s="11"/>
      <c r="C124" s="11"/>
      <c r="D124" s="11"/>
      <c r="E124" s="11"/>
      <c r="F124" s="11"/>
      <c r="G124" s="11"/>
      <c r="H124" s="11"/>
      <c r="I124" s="11"/>
      <c r="J124" s="15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>
      <c r="A125" s="11"/>
      <c r="B125" s="11"/>
      <c r="C125" s="11"/>
      <c r="D125" s="11"/>
      <c r="E125" s="11"/>
      <c r="F125" s="11"/>
      <c r="G125" s="11"/>
      <c r="H125" s="11"/>
      <c r="I125" s="11"/>
      <c r="J125" s="15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pans="1:29">
      <c r="A126" s="11"/>
      <c r="B126" s="11"/>
      <c r="C126" s="11"/>
      <c r="D126" s="11"/>
      <c r="E126" s="11"/>
      <c r="F126" s="11"/>
      <c r="G126" s="11"/>
      <c r="H126" s="11"/>
      <c r="I126" s="11"/>
      <c r="J126" s="12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spans="1:29">
      <c r="A127" s="11"/>
      <c r="B127" s="11"/>
      <c r="C127" s="11"/>
      <c r="D127" s="11"/>
      <c r="E127" s="11"/>
      <c r="F127" s="11"/>
      <c r="G127" s="11"/>
      <c r="H127" s="11"/>
      <c r="I127" s="11"/>
      <c r="J127" s="15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pans="1:29">
      <c r="A128" s="11"/>
      <c r="B128" s="11"/>
      <c r="C128" s="11"/>
      <c r="D128" s="11"/>
      <c r="E128" s="11"/>
      <c r="F128" s="11"/>
      <c r="G128" s="11"/>
      <c r="H128" s="11"/>
      <c r="I128" s="11"/>
      <c r="J128" s="15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pans="1:29">
      <c r="A129" s="11"/>
      <c r="B129" s="11"/>
      <c r="C129" s="11"/>
      <c r="D129" s="11"/>
      <c r="E129" s="11"/>
      <c r="F129" s="11"/>
      <c r="G129" s="11"/>
      <c r="H129" s="11"/>
      <c r="I129" s="11"/>
      <c r="J129" s="12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pans="1:29">
      <c r="A130" s="11"/>
      <c r="B130" s="11"/>
      <c r="C130" s="11"/>
      <c r="D130" s="11"/>
      <c r="E130" s="11"/>
      <c r="F130" s="11"/>
      <c r="G130" s="11"/>
      <c r="H130" s="11"/>
      <c r="I130" s="11"/>
      <c r="J130" s="15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pans="1:29">
      <c r="A131" s="11"/>
      <c r="B131" s="11"/>
      <c r="C131" s="11"/>
      <c r="D131" s="11"/>
      <c r="E131" s="11"/>
      <c r="F131" s="11"/>
      <c r="G131" s="11"/>
      <c r="H131" s="11"/>
      <c r="I131" s="11"/>
      <c r="J131" s="15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pans="1:29">
      <c r="A132" s="11"/>
      <c r="B132" s="11"/>
      <c r="C132" s="11"/>
      <c r="D132" s="11"/>
      <c r="E132" s="11"/>
      <c r="F132" s="11"/>
      <c r="G132" s="11"/>
      <c r="H132" s="11"/>
      <c r="I132" s="11"/>
      <c r="J132" s="12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pans="1:29">
      <c r="A133" s="11"/>
      <c r="B133" s="11"/>
      <c r="C133" s="11"/>
      <c r="D133" s="11"/>
      <c r="E133" s="11"/>
      <c r="F133" s="11"/>
      <c r="G133" s="11"/>
      <c r="H133" s="11"/>
      <c r="I133" s="11"/>
      <c r="J133" s="15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pans="1:29">
      <c r="A134" s="11"/>
      <c r="B134" s="11"/>
      <c r="C134" s="11"/>
      <c r="D134" s="11"/>
      <c r="E134" s="11"/>
      <c r="F134" s="11"/>
      <c r="G134" s="11"/>
      <c r="H134" s="11"/>
      <c r="I134" s="11"/>
      <c r="J134" s="15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pans="1:29">
      <c r="A135" s="11"/>
      <c r="B135" s="11"/>
      <c r="C135" s="11"/>
      <c r="D135" s="11"/>
      <c r="E135" s="11"/>
      <c r="F135" s="11"/>
      <c r="G135" s="11"/>
      <c r="H135" s="11"/>
      <c r="I135" s="11"/>
      <c r="J135" s="12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pans="1:29">
      <c r="A136" s="11"/>
      <c r="B136" s="11"/>
      <c r="C136" s="11"/>
      <c r="D136" s="11"/>
      <c r="E136" s="11"/>
      <c r="F136" s="11"/>
      <c r="G136" s="11"/>
      <c r="H136" s="11"/>
      <c r="I136" s="11"/>
      <c r="J136" s="15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pans="1:29">
      <c r="A137" s="11"/>
      <c r="B137" s="11"/>
      <c r="C137" s="11"/>
      <c r="D137" s="11"/>
      <c r="E137" s="11"/>
      <c r="F137" s="11"/>
      <c r="G137" s="11"/>
      <c r="H137" s="11"/>
      <c r="I137" s="11"/>
      <c r="J137" s="15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pans="1:29">
      <c r="A138" s="11"/>
      <c r="B138" s="11"/>
      <c r="C138" s="11"/>
      <c r="D138" s="11"/>
      <c r="E138" s="11"/>
      <c r="F138" s="11"/>
      <c r="G138" s="11"/>
      <c r="H138" s="11"/>
      <c r="I138" s="11"/>
      <c r="J138" s="12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pans="1:29">
      <c r="A139" s="11"/>
      <c r="B139" s="11"/>
      <c r="C139" s="11"/>
      <c r="D139" s="11"/>
      <c r="E139" s="11"/>
      <c r="F139" s="11"/>
      <c r="G139" s="11"/>
      <c r="H139" s="11"/>
      <c r="I139" s="11"/>
      <c r="J139" s="15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pans="1:29">
      <c r="A140" s="11"/>
      <c r="B140" s="11"/>
      <c r="C140" s="11"/>
      <c r="D140" s="11"/>
      <c r="E140" s="11"/>
      <c r="F140" s="11"/>
      <c r="G140" s="11"/>
      <c r="H140" s="11"/>
      <c r="I140" s="11"/>
      <c r="J140" s="15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pans="1:29">
      <c r="A141" s="11"/>
      <c r="B141" s="11"/>
      <c r="C141" s="11"/>
      <c r="D141" s="11"/>
      <c r="E141" s="11"/>
      <c r="F141" s="11"/>
      <c r="G141" s="11"/>
      <c r="H141" s="11"/>
      <c r="I141" s="11"/>
      <c r="J141" s="12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pans="1:29">
      <c r="A142" s="11"/>
      <c r="B142" s="11"/>
      <c r="C142" s="11"/>
      <c r="D142" s="11"/>
      <c r="E142" s="11"/>
      <c r="F142" s="11"/>
      <c r="G142" s="11"/>
      <c r="H142" s="11"/>
      <c r="I142" s="11"/>
      <c r="J142" s="15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pans="1:29">
      <c r="A143" s="11"/>
      <c r="B143" s="11"/>
      <c r="C143" s="11"/>
      <c r="D143" s="11"/>
      <c r="E143" s="11"/>
      <c r="F143" s="11"/>
      <c r="G143" s="11"/>
      <c r="H143" s="11"/>
      <c r="I143" s="11"/>
      <c r="J143" s="15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pans="1:29">
      <c r="A144" s="11"/>
      <c r="B144" s="11"/>
      <c r="C144" s="11"/>
      <c r="D144" s="11"/>
      <c r="E144" s="11"/>
      <c r="F144" s="11"/>
      <c r="G144" s="11"/>
      <c r="H144" s="11"/>
      <c r="I144" s="11"/>
      <c r="J144" s="12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pans="1:29">
      <c r="A145" s="11"/>
      <c r="B145" s="11"/>
      <c r="C145" s="11"/>
      <c r="D145" s="11"/>
      <c r="E145" s="11"/>
      <c r="F145" s="11"/>
      <c r="G145" s="11"/>
      <c r="H145" s="11"/>
      <c r="I145" s="11"/>
      <c r="J145" s="15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pans="1:29">
      <c r="A146" s="11"/>
      <c r="B146" s="11"/>
      <c r="C146" s="11"/>
      <c r="D146" s="11"/>
      <c r="E146" s="11"/>
      <c r="F146" s="11"/>
      <c r="G146" s="11"/>
      <c r="H146" s="11"/>
      <c r="I146" s="11"/>
      <c r="J146" s="15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pans="1:29">
      <c r="A147" s="11"/>
      <c r="B147" s="11"/>
      <c r="C147" s="11"/>
      <c r="D147" s="11"/>
      <c r="E147" s="11"/>
      <c r="F147" s="11"/>
      <c r="G147" s="11"/>
      <c r="H147" s="11"/>
      <c r="I147" s="11"/>
      <c r="J147" s="12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pans="1:29">
      <c r="A148" s="11"/>
      <c r="B148" s="11"/>
      <c r="C148" s="11"/>
      <c r="D148" s="11"/>
      <c r="E148" s="11"/>
      <c r="F148" s="11"/>
      <c r="G148" s="11"/>
      <c r="H148" s="11"/>
      <c r="I148" s="11"/>
      <c r="J148" s="15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pans="1:29">
      <c r="A149" s="11"/>
      <c r="B149" s="11"/>
      <c r="C149" s="11"/>
      <c r="D149" s="11"/>
      <c r="E149" s="11"/>
      <c r="F149" s="11"/>
      <c r="G149" s="11"/>
      <c r="H149" s="11"/>
      <c r="I149" s="11"/>
      <c r="J149" s="15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pans="1:29">
      <c r="A150" s="11"/>
      <c r="B150" s="11"/>
      <c r="C150" s="11"/>
      <c r="D150" s="11"/>
      <c r="E150" s="11"/>
      <c r="F150" s="11"/>
      <c r="G150" s="11"/>
      <c r="H150" s="11"/>
      <c r="I150" s="11"/>
      <c r="J150" s="12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pans="1:29">
      <c r="A151" s="11"/>
      <c r="B151" s="11"/>
      <c r="C151" s="11"/>
      <c r="D151" s="11"/>
      <c r="E151" s="11"/>
      <c r="F151" s="11"/>
      <c r="G151" s="11"/>
      <c r="H151" s="11"/>
      <c r="I151" s="11"/>
      <c r="J151" s="15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pans="1:29">
      <c r="A152" s="11"/>
      <c r="B152" s="11"/>
      <c r="C152" s="11"/>
      <c r="D152" s="11"/>
      <c r="E152" s="11"/>
      <c r="F152" s="11"/>
      <c r="G152" s="11"/>
      <c r="H152" s="11"/>
      <c r="I152" s="11"/>
      <c r="J152" s="15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pans="1:29">
      <c r="A153" s="11"/>
      <c r="B153" s="11"/>
      <c r="C153" s="11"/>
      <c r="D153" s="11"/>
      <c r="E153" s="11"/>
      <c r="F153" s="11"/>
      <c r="G153" s="11"/>
      <c r="H153" s="11"/>
      <c r="I153" s="11"/>
      <c r="J153" s="12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pans="1:29">
      <c r="A154" s="11"/>
      <c r="B154" s="11"/>
      <c r="C154" s="11"/>
      <c r="D154" s="11"/>
      <c r="E154" s="11"/>
      <c r="F154" s="11"/>
      <c r="G154" s="11"/>
      <c r="H154" s="11"/>
      <c r="I154" s="11"/>
      <c r="J154" s="15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pans="1:29">
      <c r="A155" s="11"/>
      <c r="B155" s="11"/>
      <c r="C155" s="11"/>
      <c r="D155" s="11"/>
      <c r="E155" s="11"/>
      <c r="F155" s="11"/>
      <c r="G155" s="11"/>
      <c r="H155" s="11"/>
      <c r="I155" s="11"/>
      <c r="J155" s="15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pans="1:29">
      <c r="A156" s="11"/>
      <c r="B156" s="11"/>
      <c r="C156" s="11"/>
      <c r="D156" s="11"/>
      <c r="E156" s="11"/>
      <c r="F156" s="11"/>
      <c r="G156" s="11"/>
      <c r="H156" s="11"/>
      <c r="I156" s="11"/>
      <c r="J156" s="12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pans="1:29">
      <c r="A157" s="11"/>
      <c r="B157" s="11"/>
      <c r="C157" s="11"/>
      <c r="D157" s="11"/>
      <c r="E157" s="11"/>
      <c r="F157" s="11"/>
      <c r="G157" s="11"/>
      <c r="J157" s="15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95D1-FB8C-4F56-AE88-00DCDE825000}">
  <dimension ref="A1:AC156"/>
  <sheetViews>
    <sheetView workbookViewId="0">
      <selection activeCell="E46" sqref="E46"/>
    </sheetView>
  </sheetViews>
  <sheetFormatPr defaultColWidth="8.9140625" defaultRowHeight="14"/>
  <cols>
    <col min="1" max="1" width="14.08203125" style="13" bestFit="1" customWidth="1"/>
    <col min="2" max="2" width="28" style="13" bestFit="1" customWidth="1"/>
    <col min="3" max="3" width="20.25" style="13" bestFit="1" customWidth="1"/>
    <col min="4" max="4" width="10.4140625" style="13" bestFit="1" customWidth="1"/>
    <col min="5" max="5" width="16.25" style="13" customWidth="1"/>
    <col min="6" max="6" width="14" style="13" bestFit="1" customWidth="1"/>
    <col min="7" max="7" width="9.9140625" style="13" bestFit="1" customWidth="1"/>
    <col min="8" max="8" width="14.4140625" style="13" customWidth="1"/>
    <col min="9" max="9" width="15.9140625" style="13" customWidth="1"/>
    <col min="10" max="10" width="8.9140625" style="13"/>
    <col min="11" max="11" width="19.75" style="13" bestFit="1" customWidth="1"/>
    <col min="12" max="12" width="17.58203125" style="13" bestFit="1" customWidth="1"/>
    <col min="13" max="13" width="15.33203125" style="13" bestFit="1" customWidth="1"/>
    <col min="14" max="14" width="21.9140625" style="13" bestFit="1" customWidth="1"/>
    <col min="15" max="15" width="19.08203125" style="13" customWidth="1"/>
    <col min="16" max="16384" width="8.9140625" style="13"/>
  </cols>
  <sheetData>
    <row r="1" spans="1:29" ht="17.5">
      <c r="A1" s="108" t="s">
        <v>88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29" ht="17.5">
      <c r="A2" s="112" t="s">
        <v>89</v>
      </c>
      <c r="B2" s="113"/>
      <c r="C2" s="113"/>
      <c r="D2" s="113"/>
      <c r="E2" s="113"/>
      <c r="F2" s="113"/>
      <c r="G2" s="113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29">
      <c r="A3" s="11"/>
      <c r="B3" s="11"/>
      <c r="C3" s="11"/>
      <c r="D3" s="11"/>
      <c r="E3" s="11"/>
      <c r="F3" s="11"/>
      <c r="G3" s="11"/>
      <c r="H3" s="11"/>
      <c r="I3" s="1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9">
      <c r="A4" s="14"/>
      <c r="B4" s="14"/>
      <c r="C4" s="14"/>
      <c r="D4" s="14"/>
      <c r="E4" s="14"/>
      <c r="F4" s="14"/>
      <c r="G4" s="14"/>
      <c r="H4" s="14"/>
      <c r="I4" s="14"/>
      <c r="J4" s="15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/>
      <c r="B5" s="17" t="s">
        <v>27</v>
      </c>
      <c r="C5" s="16"/>
      <c r="D5" s="16"/>
      <c r="E5" s="18"/>
      <c r="F5" s="19"/>
      <c r="G5" s="16"/>
      <c r="H5" s="20"/>
      <c r="I5" s="20"/>
      <c r="J5" s="18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>
      <c r="A6" s="21"/>
      <c r="B6" s="22"/>
      <c r="C6" s="22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9" ht="14.4" customHeight="1">
      <c r="A7" s="23"/>
      <c r="B7" s="24" t="s">
        <v>28</v>
      </c>
      <c r="C7" s="25" t="s">
        <v>29</v>
      </c>
      <c r="D7" s="26"/>
      <c r="E7" s="24" t="s">
        <v>28</v>
      </c>
      <c r="F7" s="25" t="s">
        <v>29</v>
      </c>
      <c r="G7" s="27"/>
      <c r="H7" s="24" t="s">
        <v>28</v>
      </c>
      <c r="I7" s="25" t="s">
        <v>29</v>
      </c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spans="1:29" ht="13.75" customHeight="1">
      <c r="A8" s="23"/>
      <c r="B8" s="30" t="s">
        <v>30</v>
      </c>
      <c r="C8" s="31">
        <v>5</v>
      </c>
      <c r="D8" s="26"/>
      <c r="E8" s="30" t="s">
        <v>31</v>
      </c>
      <c r="F8" s="31">
        <v>5</v>
      </c>
      <c r="G8" s="32"/>
      <c r="H8" s="30" t="s">
        <v>32</v>
      </c>
      <c r="I8" s="31" t="s">
        <v>33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</row>
    <row r="9" spans="1:29">
      <c r="A9" s="23"/>
      <c r="B9" s="33" t="s">
        <v>34</v>
      </c>
      <c r="C9" s="34">
        <v>0.2</v>
      </c>
      <c r="D9" s="35"/>
      <c r="E9" s="33" t="s">
        <v>35</v>
      </c>
      <c r="F9" s="34">
        <v>0.15</v>
      </c>
      <c r="G9" s="36"/>
      <c r="H9" s="33" t="s">
        <v>36</v>
      </c>
      <c r="I9" s="34">
        <v>0.1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</row>
    <row r="10" spans="1:29">
      <c r="A10" s="23"/>
      <c r="B10" s="37" t="s">
        <v>37</v>
      </c>
      <c r="C10" s="34">
        <v>0.25</v>
      </c>
      <c r="D10" s="35"/>
      <c r="E10" s="37" t="s">
        <v>37</v>
      </c>
      <c r="F10" s="34">
        <v>0.25</v>
      </c>
      <c r="G10" s="32"/>
      <c r="H10" s="37" t="s">
        <v>37</v>
      </c>
      <c r="I10" s="34">
        <v>0.25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</row>
    <row r="11" spans="1:29">
      <c r="A11" s="23"/>
      <c r="B11" s="37" t="s">
        <v>38</v>
      </c>
      <c r="C11" s="34">
        <v>3.4799999999999998E-2</v>
      </c>
      <c r="D11" s="35"/>
      <c r="E11" s="37" t="s">
        <v>38</v>
      </c>
      <c r="F11" s="34">
        <f>C11</f>
        <v>3.4799999999999998E-2</v>
      </c>
      <c r="G11" s="32"/>
      <c r="H11" s="37" t="s">
        <v>38</v>
      </c>
      <c r="I11" s="34">
        <f>F11</f>
        <v>3.4799999999999998E-2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 spans="1:29">
      <c r="A12" s="23"/>
      <c r="B12" s="37" t="s">
        <v>39</v>
      </c>
      <c r="C12" s="40" t="s">
        <v>73</v>
      </c>
      <c r="D12" s="35"/>
      <c r="E12" s="37" t="s">
        <v>39</v>
      </c>
      <c r="F12" s="40" t="str">
        <f>C12</f>
        <v>1.15</v>
      </c>
      <c r="G12" s="32"/>
      <c r="H12" s="37" t="s">
        <v>39</v>
      </c>
      <c r="I12" s="40" t="str">
        <f>F12</f>
        <v>1.15</v>
      </c>
      <c r="J12" s="12"/>
      <c r="K12" s="41" t="s">
        <v>40</v>
      </c>
      <c r="L12" s="42" t="s">
        <v>76</v>
      </c>
      <c r="M12" s="42" t="s">
        <v>74</v>
      </c>
      <c r="N12" s="42" t="s">
        <v>41</v>
      </c>
      <c r="O12" s="43" t="s">
        <v>42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9">
      <c r="A13" s="23"/>
      <c r="B13" s="44" t="s">
        <v>43</v>
      </c>
      <c r="C13" s="34">
        <v>0.1091</v>
      </c>
      <c r="D13" s="35"/>
      <c r="E13" s="44" t="s">
        <v>43</v>
      </c>
      <c r="F13" s="34">
        <f>C13</f>
        <v>0.1091</v>
      </c>
      <c r="G13" s="32"/>
      <c r="H13" s="44" t="s">
        <v>43</v>
      </c>
      <c r="I13" s="34">
        <f>F13</f>
        <v>0.1091</v>
      </c>
      <c r="J13" s="15"/>
      <c r="K13" s="45">
        <v>97.85</v>
      </c>
      <c r="L13" s="45">
        <v>30.62</v>
      </c>
      <c r="M13" s="45">
        <v>71.69</v>
      </c>
      <c r="N13" s="45">
        <f>K13-L13-M13</f>
        <v>-4.460000000000008</v>
      </c>
      <c r="O13" s="46">
        <v>2021</v>
      </c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9">
      <c r="A14" s="23"/>
      <c r="B14" s="44" t="s">
        <v>44</v>
      </c>
      <c r="C14" s="34">
        <f>C11+C12*(C13-C11)</f>
        <v>0.12024499999999999</v>
      </c>
      <c r="D14" s="35"/>
      <c r="E14" s="44" t="s">
        <v>44</v>
      </c>
      <c r="F14" s="34">
        <f>C11+C12*(C13-C11)</f>
        <v>0.12024499999999999</v>
      </c>
      <c r="G14" s="32"/>
      <c r="H14" s="44" t="s">
        <v>44</v>
      </c>
      <c r="I14" s="34">
        <f>C11+C12*(C13-C11)</f>
        <v>0.12024499999999999</v>
      </c>
      <c r="J14" s="15"/>
      <c r="K14" s="45">
        <v>218.78</v>
      </c>
      <c r="L14" s="45">
        <v>17.079999999999998</v>
      </c>
      <c r="M14" s="45">
        <v>30.26</v>
      </c>
      <c r="N14" s="45">
        <f t="shared" ref="N14:N18" si="0">K14-L14-M14</f>
        <v>171.44</v>
      </c>
      <c r="O14" s="46">
        <v>2020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9">
      <c r="A15" s="23"/>
      <c r="B15" s="44" t="s">
        <v>45</v>
      </c>
      <c r="C15" s="34">
        <v>3.4700000000000002E-2</v>
      </c>
      <c r="D15" s="35"/>
      <c r="E15" s="44" t="s">
        <v>45</v>
      </c>
      <c r="F15" s="34">
        <f>C15</f>
        <v>3.4700000000000002E-2</v>
      </c>
      <c r="G15" s="32"/>
      <c r="H15" s="44" t="s">
        <v>45</v>
      </c>
      <c r="I15" s="34">
        <f>F15</f>
        <v>3.4700000000000002E-2</v>
      </c>
      <c r="J15" s="12"/>
      <c r="K15" s="45">
        <v>238.1</v>
      </c>
      <c r="L15" s="45">
        <v>13.81</v>
      </c>
      <c r="M15" s="45">
        <v>34.049999999999997</v>
      </c>
      <c r="N15" s="45">
        <f t="shared" si="0"/>
        <v>190.24</v>
      </c>
      <c r="O15" s="46">
        <v>2019</v>
      </c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9">
      <c r="A16" s="29"/>
      <c r="B16" s="47" t="s">
        <v>46</v>
      </c>
      <c r="C16" s="48">
        <f>23382956.89*10000</f>
        <v>233829568900</v>
      </c>
      <c r="D16" s="49"/>
      <c r="E16" s="47" t="s">
        <v>46</v>
      </c>
      <c r="F16" s="48">
        <f>C16</f>
        <v>233829568900</v>
      </c>
      <c r="G16" s="32"/>
      <c r="H16" s="47" t="s">
        <v>46</v>
      </c>
      <c r="I16" s="48">
        <f>F16</f>
        <v>233829568900</v>
      </c>
      <c r="J16" s="15"/>
      <c r="K16" s="45">
        <v>-14.15</v>
      </c>
      <c r="L16" s="45">
        <v>7.48</v>
      </c>
      <c r="M16" s="45">
        <v>37.85</v>
      </c>
      <c r="N16" s="45">
        <f t="shared" si="0"/>
        <v>-59.480000000000004</v>
      </c>
      <c r="O16" s="46">
        <v>2018</v>
      </c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9">
      <c r="A17" s="29"/>
      <c r="B17" s="47" t="s">
        <v>47</v>
      </c>
      <c r="C17" s="48">
        <f>(922171.6+2049221.3)*10000</f>
        <v>29713929000</v>
      </c>
      <c r="D17" s="29"/>
      <c r="E17" s="47" t="s">
        <v>47</v>
      </c>
      <c r="F17" s="48">
        <f>C17</f>
        <v>29713929000</v>
      </c>
      <c r="G17" s="29"/>
      <c r="H17" s="47" t="s">
        <v>47</v>
      </c>
      <c r="I17" s="48">
        <f>F17</f>
        <v>29713929000</v>
      </c>
      <c r="J17" s="15"/>
      <c r="K17" s="45">
        <v>-9.9600000000000009</v>
      </c>
      <c r="L17" s="45">
        <v>3.61</v>
      </c>
      <c r="M17" s="45">
        <v>12.18</v>
      </c>
      <c r="N17" s="45">
        <f t="shared" si="0"/>
        <v>-25.75</v>
      </c>
      <c r="O17" s="46">
        <v>2017</v>
      </c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9">
      <c r="A18" s="29"/>
      <c r="B18" s="50" t="s">
        <v>48</v>
      </c>
      <c r="C18" s="51">
        <f>((C14*C16)+(C15*C17))/(C16+C17)</f>
        <v>0.11059999613323981</v>
      </c>
      <c r="D18" s="29"/>
      <c r="E18" s="50" t="s">
        <v>48</v>
      </c>
      <c r="F18" s="51">
        <f>((F14*F16)+(F15*F17))/(F16+F17)</f>
        <v>0.11059999613323981</v>
      </c>
      <c r="G18" s="29"/>
      <c r="H18" s="50" t="s">
        <v>48</v>
      </c>
      <c r="I18" s="51">
        <f>((I14*I16)+(I15*I17))/(I16+I17)</f>
        <v>0.11059999613323981</v>
      </c>
      <c r="J18" s="12"/>
      <c r="K18" s="45">
        <v>47.15</v>
      </c>
      <c r="L18" s="45">
        <v>2.4</v>
      </c>
      <c r="M18" s="45">
        <v>18.260000000000002</v>
      </c>
      <c r="N18" s="45">
        <f t="shared" si="0"/>
        <v>26.49</v>
      </c>
      <c r="O18" s="46">
        <v>2016</v>
      </c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9">
      <c r="A19" s="29"/>
      <c r="B19" s="29"/>
      <c r="C19" s="29"/>
      <c r="D19" s="29"/>
      <c r="E19" s="29"/>
      <c r="G19" s="29"/>
      <c r="H19" s="29"/>
      <c r="I19" s="29"/>
      <c r="J19" s="15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9">
      <c r="A20" s="29"/>
      <c r="B20" s="52"/>
      <c r="C20" s="52"/>
      <c r="D20" s="52"/>
      <c r="E20" s="52"/>
      <c r="F20" s="52"/>
      <c r="G20" s="52"/>
      <c r="H20" s="29"/>
      <c r="I20" s="29"/>
      <c r="J20" s="15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</row>
    <row r="21" spans="1:29" ht="15" customHeight="1">
      <c r="A21" s="23"/>
      <c r="B21" s="53" t="s">
        <v>49</v>
      </c>
      <c r="C21" s="54" t="s">
        <v>50</v>
      </c>
      <c r="D21" s="55" t="s">
        <v>51</v>
      </c>
      <c r="E21" s="54" t="s">
        <v>52</v>
      </c>
      <c r="F21" s="55" t="s">
        <v>53</v>
      </c>
      <c r="G21" s="54" t="s">
        <v>54</v>
      </c>
      <c r="H21" s="29"/>
      <c r="I21" s="29"/>
      <c r="J21" s="12"/>
      <c r="K21" s="56" t="s">
        <v>40</v>
      </c>
      <c r="L21" s="42" t="s">
        <v>76</v>
      </c>
      <c r="M21" s="56" t="s">
        <v>75</v>
      </c>
      <c r="N21" s="56" t="s">
        <v>55</v>
      </c>
      <c r="O21" s="57" t="s">
        <v>56</v>
      </c>
      <c r="P21" s="11"/>
      <c r="Q21" s="11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</row>
    <row r="22" spans="1:29">
      <c r="A22" s="23"/>
      <c r="B22" s="59" t="s">
        <v>57</v>
      </c>
      <c r="C22" s="60">
        <f>AVERAGE(N13:N18)*(1+$C$9)</f>
        <v>59.695999999999998</v>
      </c>
      <c r="D22" s="60">
        <f>C22*(1+$C$9)</f>
        <v>71.635199999999998</v>
      </c>
      <c r="E22" s="60">
        <f>D22*(1+$C$9)</f>
        <v>85.962239999999994</v>
      </c>
      <c r="F22" s="61">
        <f>E22*(1+$C$9)</f>
        <v>103.15468799999999</v>
      </c>
      <c r="G22" s="62">
        <f>F22*(1+$C$9)</f>
        <v>123.78562559999999</v>
      </c>
      <c r="H22" s="29"/>
      <c r="I22" s="29"/>
      <c r="J22" s="63"/>
      <c r="K22" s="45">
        <f>K13*(1+$C$9)</f>
        <v>117.41999999999999</v>
      </c>
      <c r="L22" s="45">
        <f>L13*(1+$C$9)</f>
        <v>36.744</v>
      </c>
      <c r="M22" s="45">
        <f>M13*(1+$C$9)</f>
        <v>86.027999999999992</v>
      </c>
      <c r="N22" s="45">
        <f>(AVERAGE(N13:N18))*(1+$C$9)</f>
        <v>59.695999999999998</v>
      </c>
      <c r="O22" s="64">
        <v>2022</v>
      </c>
      <c r="P22" s="65"/>
      <c r="Q22" s="11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9" ht="14.4" customHeight="1">
      <c r="A23" s="23"/>
      <c r="B23" s="66" t="s">
        <v>58</v>
      </c>
      <c r="C23" s="29">
        <f>C22/(1+$C$18)^1</f>
        <v>53.751125704882689</v>
      </c>
      <c r="D23" s="29">
        <f>D22/(1+$C$18)^2</f>
        <v>58.077931812022925</v>
      </c>
      <c r="E23" s="29">
        <f>E22/(1+$C$18)^3</f>
        <v>62.753032970537042</v>
      </c>
      <c r="F23" s="23">
        <f>F22/(1+$C$18)^4</f>
        <v>67.804465898458545</v>
      </c>
      <c r="G23" s="62">
        <f>G22/(1+$C$18)^5</f>
        <v>73.262524186420734</v>
      </c>
      <c r="H23" s="29"/>
      <c r="I23" s="29"/>
      <c r="J23" s="63"/>
      <c r="K23" s="45">
        <f t="shared" ref="K23:N26" si="1">K22*(1+$C$9)</f>
        <v>140.90399999999997</v>
      </c>
      <c r="L23" s="45">
        <f t="shared" si="1"/>
        <v>44.092799999999997</v>
      </c>
      <c r="M23" s="45">
        <f t="shared" si="1"/>
        <v>103.23359999999998</v>
      </c>
      <c r="N23" s="45">
        <f t="shared" si="1"/>
        <v>71.635199999999998</v>
      </c>
      <c r="O23" s="67">
        <v>2023</v>
      </c>
      <c r="P23" s="65"/>
      <c r="Q23" s="11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9" ht="15" customHeight="1">
      <c r="A24" s="68"/>
      <c r="B24" s="69" t="s">
        <v>59</v>
      </c>
      <c r="C24" s="70" t="s">
        <v>60</v>
      </c>
      <c r="D24" s="70" t="s">
        <v>61</v>
      </c>
      <c r="E24" s="70" t="s">
        <v>62</v>
      </c>
      <c r="F24" s="70" t="s">
        <v>63</v>
      </c>
      <c r="G24" s="54" t="s">
        <v>64</v>
      </c>
      <c r="H24" s="29"/>
      <c r="I24" s="29"/>
      <c r="J24" s="71"/>
      <c r="K24" s="45">
        <f t="shared" si="1"/>
        <v>169.08479999999994</v>
      </c>
      <c r="L24" s="45">
        <f t="shared" si="1"/>
        <v>52.911359999999995</v>
      </c>
      <c r="M24" s="45">
        <f t="shared" si="1"/>
        <v>123.88031999999997</v>
      </c>
      <c r="N24" s="45">
        <f t="shared" si="1"/>
        <v>85.962239999999994</v>
      </c>
      <c r="O24" s="67">
        <v>2024</v>
      </c>
      <c r="P24" s="28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9" ht="13.25" customHeight="1">
      <c r="A25" s="23"/>
      <c r="B25" s="72" t="s">
        <v>57</v>
      </c>
      <c r="C25" s="52">
        <f>G22*(1+$F$9)</f>
        <v>142.35346943999997</v>
      </c>
      <c r="D25" s="52">
        <f>C25*(1+$F$9)</f>
        <v>163.70648985599996</v>
      </c>
      <c r="E25" s="52">
        <f t="shared" ref="E25:G25" si="2">D25*(1+$F$9)</f>
        <v>188.26246333439994</v>
      </c>
      <c r="F25" s="52">
        <f t="shared" si="2"/>
        <v>216.50183283455991</v>
      </c>
      <c r="G25" s="52">
        <f t="shared" si="2"/>
        <v>248.97710775974386</v>
      </c>
      <c r="H25" s="29"/>
      <c r="I25" s="29"/>
      <c r="J25" s="63"/>
      <c r="K25" s="45">
        <f t="shared" si="1"/>
        <v>202.90175999999994</v>
      </c>
      <c r="L25" s="45">
        <f t="shared" si="1"/>
        <v>63.493631999999991</v>
      </c>
      <c r="M25" s="45">
        <f t="shared" si="1"/>
        <v>148.65638399999995</v>
      </c>
      <c r="N25" s="45">
        <f t="shared" si="1"/>
        <v>103.15468799999999</v>
      </c>
      <c r="O25" s="67">
        <v>2025</v>
      </c>
      <c r="P25" s="73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</row>
    <row r="26" spans="1:29" ht="13.25" customHeight="1">
      <c r="A26" s="23"/>
      <c r="B26" s="74" t="s">
        <v>58</v>
      </c>
      <c r="C26" s="62">
        <f>C25/(1+$C$18)^6</f>
        <v>75.861609137153323</v>
      </c>
      <c r="D26" s="62">
        <f>D25/(1+$C$18)^7</f>
        <v>78.552900064354006</v>
      </c>
      <c r="E26" s="62">
        <f>E25/(1+$C$18)^8</f>
        <v>81.339668096999887</v>
      </c>
      <c r="F26" s="62">
        <f>F25/(1+$C$18)^9</f>
        <v>84.225300411695386</v>
      </c>
      <c r="G26" s="62">
        <f>G25/(1+$C$18)^10</f>
        <v>87.213304349615186</v>
      </c>
      <c r="H26" s="29"/>
      <c r="I26" s="29"/>
      <c r="J26" s="63"/>
      <c r="K26" s="45">
        <f t="shared" si="1"/>
        <v>243.48211199999992</v>
      </c>
      <c r="L26" s="45">
        <f t="shared" si="1"/>
        <v>76.192358399999989</v>
      </c>
      <c r="M26" s="45">
        <f t="shared" si="1"/>
        <v>178.38766079999994</v>
      </c>
      <c r="N26" s="45">
        <f t="shared" si="1"/>
        <v>123.78562559999999</v>
      </c>
      <c r="O26" s="67">
        <v>2026</v>
      </c>
      <c r="P26" s="65"/>
      <c r="Q26" s="11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9" ht="15" customHeight="1">
      <c r="A27" s="23"/>
      <c r="B27" s="53" t="s">
        <v>65</v>
      </c>
      <c r="C27" s="54" t="s">
        <v>66</v>
      </c>
      <c r="D27" s="75"/>
      <c r="E27" s="76"/>
      <c r="F27" s="77"/>
      <c r="G27" s="78"/>
      <c r="H27" s="79"/>
      <c r="I27" s="79"/>
      <c r="J27" s="71"/>
      <c r="K27" s="45">
        <f t="shared" ref="K27:N31" si="3">K26*(1+$F$9)</f>
        <v>280.00442879999986</v>
      </c>
      <c r="L27" s="45">
        <f t="shared" si="3"/>
        <v>87.621212159999985</v>
      </c>
      <c r="M27" s="45">
        <f t="shared" si="3"/>
        <v>205.14580991999992</v>
      </c>
      <c r="N27" s="45">
        <f t="shared" si="3"/>
        <v>142.35346943999997</v>
      </c>
      <c r="O27" s="80">
        <v>2027</v>
      </c>
      <c r="P27" s="65"/>
      <c r="Q27" s="11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 spans="1:29" ht="12" customHeight="1">
      <c r="A28" s="63"/>
      <c r="B28" s="81" t="s">
        <v>58</v>
      </c>
      <c r="C28" s="62">
        <f>(G26*(1+I9))/((C18-I9)*((1+C18)^10))</f>
        <v>3170.2465856391927</v>
      </c>
      <c r="D28" s="82"/>
      <c r="E28" s="15"/>
      <c r="F28" s="83"/>
      <c r="G28" s="84"/>
      <c r="H28" s="63"/>
      <c r="I28" s="63"/>
      <c r="J28" s="63"/>
      <c r="K28" s="45">
        <f t="shared" si="3"/>
        <v>322.0050931199998</v>
      </c>
      <c r="L28" s="45">
        <f t="shared" si="3"/>
        <v>100.76439398399998</v>
      </c>
      <c r="M28" s="45">
        <f t="shared" si="3"/>
        <v>235.91768140799988</v>
      </c>
      <c r="N28" s="45">
        <f t="shared" si="3"/>
        <v>163.70648985599996</v>
      </c>
      <c r="O28" s="80">
        <v>2028</v>
      </c>
      <c r="P28" s="65"/>
      <c r="Q28" s="11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 spans="1:29">
      <c r="A29" s="15"/>
      <c r="B29" s="76"/>
      <c r="C29" s="76"/>
      <c r="D29" s="15"/>
      <c r="E29" s="15"/>
      <c r="F29" s="85"/>
      <c r="G29" s="15"/>
      <c r="H29" s="63"/>
      <c r="I29" s="63"/>
      <c r="J29" s="63"/>
      <c r="K29" s="45">
        <f t="shared" si="3"/>
        <v>370.30585708799975</v>
      </c>
      <c r="L29" s="45">
        <f t="shared" si="3"/>
        <v>115.87905308159996</v>
      </c>
      <c r="M29" s="45">
        <f t="shared" si="3"/>
        <v>271.30533361919981</v>
      </c>
      <c r="N29" s="45">
        <f t="shared" si="3"/>
        <v>188.26246333439994</v>
      </c>
      <c r="O29" s="80">
        <v>2029</v>
      </c>
      <c r="P29" s="65"/>
      <c r="Q29" s="11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9">
      <c r="A30" s="29"/>
      <c r="B30" s="83"/>
      <c r="C30" s="12"/>
      <c r="D30" s="83"/>
      <c r="E30" s="29"/>
      <c r="F30" s="15"/>
      <c r="G30" s="15"/>
      <c r="H30" s="63"/>
      <c r="I30" s="63"/>
      <c r="J30" s="71"/>
      <c r="K30" s="45">
        <f t="shared" si="3"/>
        <v>425.8517356511997</v>
      </c>
      <c r="L30" s="45">
        <f t="shared" si="3"/>
        <v>133.26091104383994</v>
      </c>
      <c r="M30" s="45">
        <f t="shared" si="3"/>
        <v>312.00113366207978</v>
      </c>
      <c r="N30" s="45">
        <f t="shared" si="3"/>
        <v>216.50183283455991</v>
      </c>
      <c r="O30" s="80">
        <v>2030</v>
      </c>
      <c r="P30" s="65"/>
      <c r="Q30" s="11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9">
      <c r="A31" s="29"/>
      <c r="B31" s="86" t="s">
        <v>67</v>
      </c>
      <c r="C31" s="87" t="s">
        <v>68</v>
      </c>
      <c r="D31" s="88" t="s">
        <v>69</v>
      </c>
      <c r="E31" s="29"/>
      <c r="F31" s="15"/>
      <c r="G31" s="15"/>
      <c r="H31" s="29"/>
      <c r="I31" s="23"/>
      <c r="J31" s="63"/>
      <c r="K31" s="45">
        <f t="shared" si="3"/>
        <v>489.7294959988796</v>
      </c>
      <c r="L31" s="45">
        <f t="shared" si="3"/>
        <v>153.25004770041591</v>
      </c>
      <c r="M31" s="45">
        <f t="shared" si="3"/>
        <v>358.80130371139171</v>
      </c>
      <c r="N31" s="45">
        <f t="shared" si="3"/>
        <v>248.97710775974386</v>
      </c>
      <c r="O31" s="89">
        <v>2031</v>
      </c>
      <c r="P31" s="65"/>
      <c r="Q31" s="11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9">
      <c r="A32" s="15"/>
      <c r="B32" s="90" t="s">
        <v>49</v>
      </c>
      <c r="C32" s="91">
        <f>C23+D23+E23+F23+G23</f>
        <v>315.64908057232196</v>
      </c>
      <c r="D32" s="34">
        <f>C32/(C32+C33+C34)</f>
        <v>8.1079349921392402E-2</v>
      </c>
      <c r="E32" s="15"/>
      <c r="F32" s="29"/>
      <c r="G32" s="29"/>
      <c r="H32" s="29"/>
      <c r="I32" s="29"/>
      <c r="J32" s="15"/>
      <c r="K32" s="60"/>
      <c r="L32" s="60"/>
      <c r="M32" s="60"/>
      <c r="N32" s="60"/>
      <c r="O32" s="60"/>
      <c r="P32" s="60"/>
      <c r="Q32" s="11"/>
      <c r="R32" s="11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</row>
    <row r="33" spans="1:29" ht="13.75" customHeight="1">
      <c r="A33" s="15"/>
      <c r="B33" s="90" t="s">
        <v>59</v>
      </c>
      <c r="C33" s="92">
        <f>SUM(C26:G26)</f>
        <v>407.19278205981777</v>
      </c>
      <c r="D33" s="93">
        <f>C33/(C33+C32+C34)</f>
        <v>0.10459376597020949</v>
      </c>
      <c r="E33" s="15"/>
      <c r="F33" s="29"/>
      <c r="G33" s="29"/>
      <c r="H33" s="62"/>
      <c r="I33" s="62"/>
      <c r="J33" s="12"/>
      <c r="K33" s="29"/>
      <c r="L33" s="29"/>
      <c r="M33" s="29"/>
      <c r="N33" s="29"/>
      <c r="O33" s="29"/>
      <c r="P33" s="11"/>
      <c r="Q33" s="11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</row>
    <row r="34" spans="1:29">
      <c r="A34" s="29"/>
      <c r="B34" s="90" t="s">
        <v>65</v>
      </c>
      <c r="C34" s="92">
        <f>C28</f>
        <v>3170.2465856391927</v>
      </c>
      <c r="D34" s="93">
        <f>C34/(C34+C33+C32)</f>
        <v>0.81432688410839815</v>
      </c>
      <c r="E34" s="29"/>
      <c r="F34" s="62"/>
      <c r="G34" s="62"/>
      <c r="H34" s="62"/>
      <c r="I34" s="62"/>
      <c r="J34" s="15"/>
      <c r="K34" s="29"/>
      <c r="L34" s="29"/>
      <c r="M34" s="11"/>
      <c r="N34" s="11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</row>
    <row r="35" spans="1:29">
      <c r="A35" s="29"/>
      <c r="B35" s="94" t="s">
        <v>70</v>
      </c>
      <c r="C35" s="95">
        <f>SUM(C32:C34)</f>
        <v>3893.0884482713327</v>
      </c>
      <c r="D35" s="96">
        <f>(C32+C33+C34)/C35</f>
        <v>1</v>
      </c>
      <c r="E35" s="29"/>
      <c r="F35" s="62"/>
      <c r="G35" s="62"/>
      <c r="H35" s="97"/>
      <c r="I35" s="97"/>
      <c r="J35" s="15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</row>
    <row r="36" spans="1:29" ht="14.4" customHeight="1">
      <c r="A36" s="15"/>
      <c r="B36" s="98"/>
      <c r="C36" s="91"/>
      <c r="D36" s="99"/>
      <c r="E36" s="15"/>
      <c r="F36" s="97"/>
      <c r="G36" s="97"/>
      <c r="H36" s="62"/>
      <c r="I36" s="62"/>
      <c r="J36" s="12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</row>
    <row r="37" spans="1:29">
      <c r="A37" s="15"/>
      <c r="B37" s="29"/>
      <c r="C37" s="29"/>
      <c r="D37" s="29"/>
      <c r="E37" s="15"/>
      <c r="F37" s="62"/>
      <c r="G37" s="62"/>
      <c r="H37" s="62"/>
      <c r="I37" s="62"/>
      <c r="J37" s="15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</row>
    <row r="38" spans="1:29">
      <c r="A38" s="29"/>
      <c r="B38" s="86" t="s">
        <v>71</v>
      </c>
      <c r="C38" s="29"/>
      <c r="D38" s="29"/>
      <c r="E38" s="29"/>
      <c r="F38" s="62"/>
      <c r="G38" s="62"/>
      <c r="H38" s="62"/>
      <c r="I38" s="62"/>
      <c r="J38" s="15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</row>
    <row r="39" spans="1:29">
      <c r="A39" s="62"/>
      <c r="B39" s="100" t="s">
        <v>77</v>
      </c>
      <c r="C39" s="62"/>
      <c r="D39" s="29"/>
      <c r="E39" s="62"/>
      <c r="F39" s="62"/>
      <c r="G39" s="62"/>
      <c r="H39" s="62"/>
      <c r="I39" s="62"/>
      <c r="J39" s="1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</row>
    <row r="40" spans="1:29">
      <c r="A40" s="62"/>
      <c r="B40" s="62"/>
      <c r="C40" s="62"/>
      <c r="D40" s="62"/>
      <c r="E40" s="62"/>
      <c r="F40" s="62"/>
      <c r="G40" s="62"/>
      <c r="H40" s="62"/>
      <c r="I40" s="62"/>
      <c r="J40" s="15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</row>
    <row r="41" spans="1:29">
      <c r="A41" s="62"/>
      <c r="B41" s="101" t="s">
        <v>72</v>
      </c>
      <c r="C41" s="97"/>
      <c r="D41" s="97"/>
      <c r="E41" s="62"/>
      <c r="F41" s="62"/>
      <c r="G41" s="62"/>
      <c r="H41" s="62"/>
      <c r="I41" s="62"/>
      <c r="J41" s="15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</row>
    <row r="42" spans="1:29">
      <c r="A42" s="62"/>
      <c r="B42" s="102">
        <f>C35/B39</f>
        <v>15.558040395921084</v>
      </c>
      <c r="C42" s="62"/>
      <c r="D42" s="62"/>
      <c r="E42" s="62"/>
      <c r="F42" s="62"/>
      <c r="G42" s="62"/>
      <c r="H42" s="62"/>
      <c r="I42" s="62"/>
      <c r="J42" s="1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</row>
    <row r="43" spans="1:29">
      <c r="A43" s="62"/>
      <c r="B43" s="62"/>
      <c r="C43" s="62"/>
      <c r="D43" s="62"/>
      <c r="E43" s="62"/>
      <c r="F43" s="62"/>
      <c r="G43" s="62"/>
      <c r="H43" s="62"/>
      <c r="I43" s="62"/>
      <c r="J43" s="1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</row>
    <row r="44" spans="1:29">
      <c r="A44" s="62"/>
      <c r="B44" s="62"/>
      <c r="C44" s="62"/>
      <c r="D44" s="62"/>
      <c r="E44" s="62"/>
      <c r="F44" s="62"/>
      <c r="G44" s="62"/>
      <c r="H44" s="62"/>
      <c r="I44" s="62"/>
      <c r="J44" s="1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</row>
    <row r="45" spans="1:29">
      <c r="A45" s="62"/>
      <c r="B45" s="62"/>
      <c r="C45" s="62"/>
      <c r="D45" s="62"/>
      <c r="E45" s="62"/>
      <c r="F45" s="62"/>
      <c r="G45" s="62"/>
      <c r="H45" s="62"/>
      <c r="I45" s="62"/>
      <c r="J45" s="15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</row>
    <row r="46" spans="1:29">
      <c r="A46" s="62"/>
      <c r="B46" s="62"/>
      <c r="C46" s="62"/>
      <c r="D46" s="62"/>
      <c r="E46" s="62"/>
      <c r="F46" s="62"/>
      <c r="G46" s="62"/>
      <c r="H46" s="62"/>
      <c r="I46" s="62"/>
      <c r="J46" s="15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</row>
    <row r="47" spans="1:29">
      <c r="A47" s="62"/>
      <c r="B47" s="62"/>
      <c r="C47" s="62"/>
      <c r="D47" s="62"/>
      <c r="E47" s="62"/>
      <c r="F47" s="62"/>
      <c r="G47" s="62"/>
      <c r="H47" s="62"/>
      <c r="I47" s="62"/>
      <c r="J47" s="1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</row>
    <row r="48" spans="1:29">
      <c r="A48" s="62"/>
      <c r="B48" s="62"/>
      <c r="C48" s="62"/>
      <c r="D48" s="62"/>
      <c r="E48" s="62"/>
      <c r="F48" s="62"/>
      <c r="G48" s="62"/>
      <c r="H48" s="62"/>
      <c r="I48" s="62"/>
      <c r="J48" s="15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</row>
    <row r="49" spans="1:29">
      <c r="A49" s="62"/>
      <c r="B49" s="62"/>
      <c r="C49" s="62"/>
      <c r="D49" s="62"/>
      <c r="E49" s="62"/>
      <c r="F49" s="62"/>
      <c r="G49" s="62"/>
      <c r="H49" s="62"/>
      <c r="I49" s="62"/>
      <c r="J49" s="15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</row>
    <row r="50" spans="1:29">
      <c r="A50" s="62"/>
      <c r="B50" s="62"/>
      <c r="C50" s="62"/>
      <c r="D50" s="62"/>
      <c r="E50" s="62"/>
      <c r="F50" s="62"/>
      <c r="G50" s="62"/>
      <c r="H50" s="11"/>
      <c r="I50" s="11"/>
      <c r="J50" s="1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</row>
    <row r="51" spans="1:29">
      <c r="A51" s="62"/>
      <c r="B51" s="62"/>
      <c r="C51" s="62"/>
      <c r="D51" s="62"/>
      <c r="E51" s="62"/>
      <c r="F51" s="11"/>
      <c r="G51" s="11"/>
      <c r="H51" s="11"/>
      <c r="I51" s="11"/>
      <c r="J51" s="15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>
      <c r="A52" s="11"/>
      <c r="B52" s="11"/>
      <c r="C52" s="11"/>
      <c r="D52" s="11"/>
      <c r="E52" s="11"/>
      <c r="F52" s="11"/>
      <c r="G52" s="11"/>
      <c r="H52" s="11"/>
      <c r="I52" s="11"/>
      <c r="J52" s="15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>
      <c r="A53" s="11"/>
      <c r="B53" s="11"/>
      <c r="C53" s="11"/>
      <c r="D53" s="11"/>
      <c r="E53" s="11"/>
      <c r="F53" s="11"/>
      <c r="G53" s="11"/>
      <c r="H53" s="11"/>
      <c r="I53" s="11"/>
      <c r="J53" s="12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>
      <c r="A54" s="11"/>
      <c r="B54" s="11"/>
      <c r="C54" s="11"/>
      <c r="D54" s="11"/>
      <c r="E54" s="11"/>
      <c r="F54" s="11"/>
      <c r="G54" s="11"/>
      <c r="H54" s="11"/>
      <c r="I54" s="11"/>
      <c r="J54" s="15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>
      <c r="A55" s="11"/>
      <c r="B55" s="11"/>
      <c r="C55" s="11"/>
      <c r="D55" s="11"/>
      <c r="E55" s="11"/>
      <c r="F55" s="11"/>
      <c r="G55" s="11"/>
      <c r="H55" s="103"/>
      <c r="I55" s="103"/>
      <c r="J55" s="15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>
      <c r="A56" s="29"/>
      <c r="B56" s="104"/>
      <c r="C56" s="105"/>
      <c r="D56" s="106"/>
      <c r="E56" s="107"/>
      <c r="F56" s="107"/>
      <c r="G56" s="103"/>
      <c r="H56" s="11"/>
      <c r="I56" s="11"/>
      <c r="J56" s="12"/>
      <c r="K56" s="29"/>
      <c r="L56" s="29"/>
      <c r="M56" s="29"/>
      <c r="N56" s="29"/>
      <c r="O56" s="29"/>
      <c r="P56" s="29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>
      <c r="A57" s="11"/>
      <c r="B57" s="11"/>
      <c r="C57" s="11"/>
      <c r="D57" s="11"/>
      <c r="E57" s="11"/>
      <c r="F57" s="11"/>
      <c r="G57" s="11"/>
      <c r="H57" s="11"/>
      <c r="I57" s="11"/>
      <c r="J57" s="15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>
      <c r="A58" s="11"/>
      <c r="B58" s="11"/>
      <c r="C58" s="11"/>
      <c r="D58" s="11"/>
      <c r="E58" s="11"/>
      <c r="F58" s="11"/>
      <c r="G58" s="11"/>
      <c r="H58" s="11"/>
      <c r="I58" s="11"/>
      <c r="J58" s="15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>
      <c r="A59" s="11"/>
      <c r="B59" s="11"/>
      <c r="C59" s="11"/>
      <c r="D59" s="11"/>
      <c r="E59" s="11"/>
      <c r="F59" s="11"/>
      <c r="G59" s="11"/>
      <c r="H59" s="11"/>
      <c r="I59" s="11"/>
      <c r="J59" s="12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>
      <c r="A60" s="11"/>
      <c r="B60" s="11"/>
      <c r="C60" s="11"/>
      <c r="D60" s="11"/>
      <c r="E60" s="11"/>
      <c r="F60" s="11"/>
      <c r="G60" s="11"/>
      <c r="H60" s="11"/>
      <c r="I60" s="11"/>
      <c r="J60" s="15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>
      <c r="A61" s="11"/>
      <c r="B61" s="11"/>
      <c r="C61" s="11"/>
      <c r="D61" s="11"/>
      <c r="E61" s="11"/>
      <c r="F61" s="11"/>
      <c r="G61" s="11"/>
      <c r="H61" s="11"/>
      <c r="I61" s="11"/>
      <c r="J61" s="15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>
      <c r="A62" s="11"/>
      <c r="B62" s="11"/>
      <c r="C62" s="11"/>
      <c r="D62" s="11"/>
      <c r="E62" s="11"/>
      <c r="F62" s="11"/>
      <c r="G62" s="11"/>
      <c r="H62" s="11"/>
      <c r="I62" s="11"/>
      <c r="J62" s="12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>
      <c r="A63" s="11"/>
      <c r="B63" s="11"/>
      <c r="C63" s="11"/>
      <c r="D63" s="11"/>
      <c r="E63" s="11"/>
      <c r="F63" s="11"/>
      <c r="G63" s="11"/>
      <c r="H63" s="11"/>
      <c r="I63" s="11"/>
      <c r="J63" s="15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>
      <c r="A64" s="11"/>
      <c r="B64" s="11"/>
      <c r="C64" s="11"/>
      <c r="D64" s="11"/>
      <c r="E64" s="11"/>
      <c r="F64" s="11"/>
      <c r="G64" s="11"/>
      <c r="H64" s="11"/>
      <c r="I64" s="11"/>
      <c r="J64" s="15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>
      <c r="A65" s="11"/>
      <c r="B65" s="11"/>
      <c r="C65" s="11"/>
      <c r="D65" s="11"/>
      <c r="E65" s="11"/>
      <c r="F65" s="11"/>
      <c r="G65" s="11"/>
      <c r="H65" s="11"/>
      <c r="I65" s="11"/>
      <c r="J65" s="12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>
      <c r="A66" s="11"/>
      <c r="B66" s="11"/>
      <c r="C66" s="11"/>
      <c r="D66" s="11"/>
      <c r="E66" s="11"/>
      <c r="F66" s="11"/>
      <c r="G66" s="11"/>
      <c r="H66" s="11"/>
      <c r="I66" s="11"/>
      <c r="J66" s="15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>
      <c r="A67" s="11"/>
      <c r="B67" s="11"/>
      <c r="C67" s="11"/>
      <c r="D67" s="11"/>
      <c r="E67" s="11"/>
      <c r="F67" s="11"/>
      <c r="G67" s="11"/>
      <c r="H67" s="11"/>
      <c r="I67" s="11"/>
      <c r="J67" s="15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>
      <c r="A68" s="11"/>
      <c r="B68" s="11"/>
      <c r="C68" s="11"/>
      <c r="D68" s="11"/>
      <c r="E68" s="11"/>
      <c r="F68" s="11"/>
      <c r="G68" s="11"/>
      <c r="H68" s="11"/>
      <c r="I68" s="11"/>
      <c r="J68" s="12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>
      <c r="A69" s="11"/>
      <c r="B69" s="11"/>
      <c r="C69" s="11"/>
      <c r="D69" s="11"/>
      <c r="E69" s="11"/>
      <c r="F69" s="11"/>
      <c r="G69" s="11"/>
      <c r="H69" s="11"/>
      <c r="I69" s="11"/>
      <c r="J69" s="15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>
      <c r="A70" s="11"/>
      <c r="B70" s="11"/>
      <c r="C70" s="11"/>
      <c r="D70" s="11"/>
      <c r="E70" s="11"/>
      <c r="F70" s="11"/>
      <c r="G70" s="11"/>
      <c r="H70" s="11"/>
      <c r="I70" s="11"/>
      <c r="J70" s="15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>
      <c r="A71" s="11"/>
      <c r="B71" s="11"/>
      <c r="C71" s="11"/>
      <c r="D71" s="11"/>
      <c r="E71" s="11"/>
      <c r="F71" s="11"/>
      <c r="G71" s="11"/>
      <c r="H71" s="11"/>
      <c r="I71" s="11"/>
      <c r="J71" s="12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29">
      <c r="A72" s="11"/>
      <c r="B72" s="11"/>
      <c r="C72" s="11"/>
      <c r="D72" s="11"/>
      <c r="E72" s="11"/>
      <c r="F72" s="11"/>
      <c r="G72" s="11"/>
      <c r="H72" s="11"/>
      <c r="I72" s="11"/>
      <c r="J72" s="15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29">
      <c r="A73" s="11"/>
      <c r="B73" s="11"/>
      <c r="C73" s="11"/>
      <c r="D73" s="11"/>
      <c r="E73" s="11"/>
      <c r="F73" s="11"/>
      <c r="G73" s="11"/>
      <c r="H73" s="11"/>
      <c r="I73" s="11"/>
      <c r="J73" s="15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29">
      <c r="A74" s="11"/>
      <c r="B74" s="11"/>
      <c r="C74" s="11"/>
      <c r="D74" s="11"/>
      <c r="E74" s="11"/>
      <c r="F74" s="11"/>
      <c r="G74" s="11"/>
      <c r="H74" s="11"/>
      <c r="I74" s="11"/>
      <c r="J74" s="12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1:29">
      <c r="A75" s="11"/>
      <c r="B75" s="11"/>
      <c r="C75" s="11"/>
      <c r="D75" s="11"/>
      <c r="E75" s="11"/>
      <c r="F75" s="11"/>
      <c r="G75" s="11"/>
      <c r="H75" s="11"/>
      <c r="I75" s="11"/>
      <c r="J75" s="15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29">
      <c r="A76" s="11"/>
      <c r="B76" s="11"/>
      <c r="C76" s="11"/>
      <c r="D76" s="11"/>
      <c r="E76" s="11"/>
      <c r="F76" s="11"/>
      <c r="G76" s="11"/>
      <c r="H76" s="11"/>
      <c r="I76" s="11"/>
      <c r="J76" s="15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29">
      <c r="A77" s="11"/>
      <c r="B77" s="11"/>
      <c r="C77" s="11"/>
      <c r="D77" s="11"/>
      <c r="E77" s="11"/>
      <c r="F77" s="11"/>
      <c r="G77" s="11"/>
      <c r="H77" s="11"/>
      <c r="I77" s="11"/>
      <c r="J77" s="12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29">
      <c r="A78" s="11"/>
      <c r="B78" s="11"/>
      <c r="C78" s="11"/>
      <c r="D78" s="11"/>
      <c r="E78" s="11"/>
      <c r="F78" s="11"/>
      <c r="G78" s="11"/>
      <c r="H78" s="11"/>
      <c r="I78" s="11"/>
      <c r="J78" s="15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29">
      <c r="A79" s="11"/>
      <c r="B79" s="11"/>
      <c r="C79" s="11"/>
      <c r="D79" s="11"/>
      <c r="E79" s="11"/>
      <c r="F79" s="11"/>
      <c r="G79" s="11"/>
      <c r="H79" s="11"/>
      <c r="I79" s="11"/>
      <c r="J79" s="15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29">
      <c r="A80" s="11"/>
      <c r="B80" s="11"/>
      <c r="C80" s="11"/>
      <c r="D80" s="11"/>
      <c r="E80" s="11"/>
      <c r="F80" s="11"/>
      <c r="G80" s="11"/>
      <c r="H80" s="11"/>
      <c r="I80" s="11"/>
      <c r="J80" s="12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1:29">
      <c r="A81" s="11"/>
      <c r="B81" s="11"/>
      <c r="C81" s="11"/>
      <c r="D81" s="11"/>
      <c r="E81" s="11"/>
      <c r="F81" s="11"/>
      <c r="G81" s="11"/>
      <c r="H81" s="11"/>
      <c r="I81" s="11"/>
      <c r="J81" s="15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1:29">
      <c r="A82" s="11"/>
      <c r="B82" s="11"/>
      <c r="C82" s="11"/>
      <c r="D82" s="11"/>
      <c r="E82" s="11"/>
      <c r="F82" s="11"/>
      <c r="G82" s="11"/>
      <c r="H82" s="11"/>
      <c r="I82" s="11"/>
      <c r="J82" s="15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pans="1:29">
      <c r="A83" s="11"/>
      <c r="B83" s="11"/>
      <c r="C83" s="11"/>
      <c r="D83" s="11"/>
      <c r="E83" s="11"/>
      <c r="F83" s="11"/>
      <c r="G83" s="11"/>
      <c r="H83" s="11"/>
      <c r="I83" s="11"/>
      <c r="J83" s="12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spans="1:29">
      <c r="A84" s="11"/>
      <c r="B84" s="11"/>
      <c r="C84" s="11"/>
      <c r="D84" s="11"/>
      <c r="E84" s="11"/>
      <c r="F84" s="11"/>
      <c r="G84" s="11"/>
      <c r="H84" s="11"/>
      <c r="I84" s="11"/>
      <c r="J84" s="15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spans="1:29">
      <c r="A85" s="11"/>
      <c r="B85" s="11"/>
      <c r="C85" s="11"/>
      <c r="D85" s="11"/>
      <c r="E85" s="11"/>
      <c r="F85" s="11"/>
      <c r="G85" s="11"/>
      <c r="H85" s="11"/>
      <c r="I85" s="11"/>
      <c r="J85" s="15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pans="1:29">
      <c r="A86" s="11"/>
      <c r="B86" s="11"/>
      <c r="C86" s="11"/>
      <c r="D86" s="11"/>
      <c r="E86" s="11"/>
      <c r="F86" s="11"/>
      <c r="G86" s="11"/>
      <c r="H86" s="11"/>
      <c r="I86" s="11"/>
      <c r="J86" s="12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29">
      <c r="A87" s="11"/>
      <c r="B87" s="11"/>
      <c r="C87" s="11"/>
      <c r="D87" s="11"/>
      <c r="E87" s="11"/>
      <c r="F87" s="11"/>
      <c r="G87" s="11"/>
      <c r="H87" s="11"/>
      <c r="I87" s="11"/>
      <c r="J87" s="15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29">
      <c r="A88" s="11"/>
      <c r="B88" s="11"/>
      <c r="C88" s="11"/>
      <c r="D88" s="11"/>
      <c r="E88" s="11"/>
      <c r="F88" s="11"/>
      <c r="G88" s="11"/>
      <c r="H88" s="11"/>
      <c r="I88" s="11"/>
      <c r="J88" s="15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pans="1:29">
      <c r="A89" s="11"/>
      <c r="B89" s="11"/>
      <c r="C89" s="11"/>
      <c r="D89" s="11"/>
      <c r="E89" s="11"/>
      <c r="F89" s="11"/>
      <c r="G89" s="11"/>
      <c r="H89" s="11"/>
      <c r="I89" s="11"/>
      <c r="J89" s="12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>
      <c r="A90" s="11"/>
      <c r="B90" s="11"/>
      <c r="C90" s="11"/>
      <c r="D90" s="11"/>
      <c r="E90" s="11"/>
      <c r="F90" s="11"/>
      <c r="G90" s="11"/>
      <c r="H90" s="11"/>
      <c r="I90" s="11"/>
      <c r="J90" s="15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>
      <c r="A91" s="11"/>
      <c r="B91" s="11"/>
      <c r="C91" s="11"/>
      <c r="D91" s="11"/>
      <c r="E91" s="11"/>
      <c r="F91" s="11"/>
      <c r="G91" s="11"/>
      <c r="H91" s="11"/>
      <c r="I91" s="11"/>
      <c r="J91" s="15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29">
      <c r="A92" s="11"/>
      <c r="B92" s="11"/>
      <c r="C92" s="11"/>
      <c r="D92" s="11"/>
      <c r="E92" s="11"/>
      <c r="F92" s="11"/>
      <c r="G92" s="11"/>
      <c r="H92" s="11"/>
      <c r="I92" s="11"/>
      <c r="J92" s="12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>
      <c r="A93" s="11"/>
      <c r="B93" s="11"/>
      <c r="C93" s="11"/>
      <c r="D93" s="11"/>
      <c r="E93" s="11"/>
      <c r="F93" s="11"/>
      <c r="G93" s="11"/>
      <c r="H93" s="11"/>
      <c r="I93" s="11"/>
      <c r="J93" s="15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>
      <c r="A94" s="11"/>
      <c r="B94" s="11"/>
      <c r="C94" s="11"/>
      <c r="D94" s="11"/>
      <c r="E94" s="11"/>
      <c r="F94" s="11"/>
      <c r="G94" s="11"/>
      <c r="H94" s="11"/>
      <c r="I94" s="11"/>
      <c r="J94" s="15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>
      <c r="A95" s="11"/>
      <c r="B95" s="11"/>
      <c r="C95" s="11"/>
      <c r="D95" s="11"/>
      <c r="E95" s="11"/>
      <c r="F95" s="11"/>
      <c r="G95" s="11"/>
      <c r="H95" s="11"/>
      <c r="I95" s="11"/>
      <c r="J95" s="12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29">
      <c r="A96" s="11"/>
      <c r="B96" s="11"/>
      <c r="C96" s="11"/>
      <c r="D96" s="11"/>
      <c r="E96" s="11"/>
      <c r="F96" s="11"/>
      <c r="G96" s="11"/>
      <c r="H96" s="11"/>
      <c r="I96" s="11"/>
      <c r="J96" s="15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>
      <c r="A97" s="11"/>
      <c r="B97" s="11"/>
      <c r="C97" s="11"/>
      <c r="D97" s="11"/>
      <c r="E97" s="11"/>
      <c r="F97" s="11"/>
      <c r="G97" s="11"/>
      <c r="H97" s="11"/>
      <c r="I97" s="11"/>
      <c r="J97" s="15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pans="1:29">
      <c r="A98" s="11"/>
      <c r="B98" s="11"/>
      <c r="C98" s="11"/>
      <c r="D98" s="11"/>
      <c r="E98" s="11"/>
      <c r="F98" s="11"/>
      <c r="G98" s="11"/>
      <c r="H98" s="11"/>
      <c r="I98" s="11"/>
      <c r="J98" s="12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>
      <c r="A99" s="11"/>
      <c r="B99" s="11"/>
      <c r="C99" s="11"/>
      <c r="D99" s="11"/>
      <c r="E99" s="11"/>
      <c r="F99" s="11"/>
      <c r="G99" s="11"/>
      <c r="H99" s="11"/>
      <c r="I99" s="11"/>
      <c r="J99" s="15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>
      <c r="A100" s="11"/>
      <c r="B100" s="11"/>
      <c r="C100" s="11"/>
      <c r="D100" s="11"/>
      <c r="E100" s="11"/>
      <c r="F100" s="11"/>
      <c r="G100" s="11"/>
      <c r="H100" s="11"/>
      <c r="I100" s="11"/>
      <c r="J100" s="15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>
      <c r="A101" s="11"/>
      <c r="B101" s="11"/>
      <c r="C101" s="11"/>
      <c r="D101" s="11"/>
      <c r="E101" s="11"/>
      <c r="F101" s="11"/>
      <c r="G101" s="11"/>
      <c r="H101" s="11"/>
      <c r="I101" s="11"/>
      <c r="J101" s="12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>
      <c r="A102" s="11"/>
      <c r="B102" s="11"/>
      <c r="C102" s="11"/>
      <c r="D102" s="11"/>
      <c r="E102" s="11"/>
      <c r="F102" s="11"/>
      <c r="G102" s="11"/>
      <c r="H102" s="11"/>
      <c r="I102" s="11"/>
      <c r="J102" s="15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>
      <c r="A103" s="11"/>
      <c r="B103" s="11"/>
      <c r="C103" s="11"/>
      <c r="D103" s="11"/>
      <c r="E103" s="11"/>
      <c r="F103" s="11"/>
      <c r="G103" s="11"/>
      <c r="H103" s="11"/>
      <c r="I103" s="11"/>
      <c r="J103" s="15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29">
      <c r="A104" s="11"/>
      <c r="B104" s="11"/>
      <c r="C104" s="11"/>
      <c r="D104" s="11"/>
      <c r="E104" s="11"/>
      <c r="F104" s="11"/>
      <c r="G104" s="11"/>
      <c r="H104" s="11"/>
      <c r="I104" s="11"/>
      <c r="J104" s="12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>
      <c r="A105" s="11"/>
      <c r="B105" s="11"/>
      <c r="C105" s="11"/>
      <c r="D105" s="11"/>
      <c r="E105" s="11"/>
      <c r="F105" s="11"/>
      <c r="G105" s="11"/>
      <c r="H105" s="11"/>
      <c r="I105" s="11"/>
      <c r="J105" s="15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pans="1:29">
      <c r="A106" s="11"/>
      <c r="B106" s="11"/>
      <c r="C106" s="11"/>
      <c r="D106" s="11"/>
      <c r="E106" s="11"/>
      <c r="F106" s="11"/>
      <c r="G106" s="11"/>
      <c r="H106" s="11"/>
      <c r="I106" s="11"/>
      <c r="J106" s="15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pans="1:29">
      <c r="A107" s="11"/>
      <c r="B107" s="11"/>
      <c r="C107" s="11"/>
      <c r="D107" s="11"/>
      <c r="E107" s="11"/>
      <c r="F107" s="11"/>
      <c r="G107" s="11"/>
      <c r="H107" s="11"/>
      <c r="I107" s="11"/>
      <c r="J107" s="12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pans="1:29">
      <c r="A108" s="11"/>
      <c r="B108" s="11"/>
      <c r="C108" s="11"/>
      <c r="D108" s="11"/>
      <c r="E108" s="11"/>
      <c r="F108" s="11"/>
      <c r="G108" s="11"/>
      <c r="H108" s="11"/>
      <c r="I108" s="11"/>
      <c r="J108" s="15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29">
      <c r="A109" s="11"/>
      <c r="B109" s="11"/>
      <c r="C109" s="11"/>
      <c r="D109" s="11"/>
      <c r="E109" s="11"/>
      <c r="F109" s="11"/>
      <c r="G109" s="11"/>
      <c r="H109" s="11"/>
      <c r="I109" s="11"/>
      <c r="J109" s="15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pans="1:29">
      <c r="A110" s="11"/>
      <c r="B110" s="11"/>
      <c r="C110" s="11"/>
      <c r="D110" s="11"/>
      <c r="E110" s="11"/>
      <c r="F110" s="11"/>
      <c r="G110" s="11"/>
      <c r="H110" s="11"/>
      <c r="I110" s="11"/>
      <c r="J110" s="12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29">
      <c r="A111" s="11"/>
      <c r="B111" s="11"/>
      <c r="C111" s="11"/>
      <c r="D111" s="11"/>
      <c r="E111" s="11"/>
      <c r="F111" s="11"/>
      <c r="G111" s="11"/>
      <c r="H111" s="11"/>
      <c r="I111" s="11"/>
      <c r="J111" s="15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pans="1:29">
      <c r="A112" s="11"/>
      <c r="B112" s="11"/>
      <c r="C112" s="11"/>
      <c r="D112" s="11"/>
      <c r="E112" s="11"/>
      <c r="F112" s="11"/>
      <c r="G112" s="11"/>
      <c r="H112" s="11"/>
      <c r="I112" s="11"/>
      <c r="J112" s="15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pans="1:29">
      <c r="A113" s="11"/>
      <c r="B113" s="11"/>
      <c r="C113" s="11"/>
      <c r="D113" s="11"/>
      <c r="E113" s="11"/>
      <c r="F113" s="11"/>
      <c r="G113" s="11"/>
      <c r="H113" s="11"/>
      <c r="I113" s="11"/>
      <c r="J113" s="12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29">
      <c r="A114" s="11"/>
      <c r="B114" s="11"/>
      <c r="C114" s="11"/>
      <c r="D114" s="11"/>
      <c r="E114" s="11"/>
      <c r="F114" s="11"/>
      <c r="G114" s="11"/>
      <c r="H114" s="11"/>
      <c r="I114" s="11"/>
      <c r="J114" s="15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pans="1:29">
      <c r="A115" s="11"/>
      <c r="B115" s="11"/>
      <c r="C115" s="11"/>
      <c r="D115" s="11"/>
      <c r="E115" s="11"/>
      <c r="F115" s="11"/>
      <c r="G115" s="11"/>
      <c r="H115" s="11"/>
      <c r="I115" s="11"/>
      <c r="J115" s="15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>
      <c r="A116" s="11"/>
      <c r="B116" s="11"/>
      <c r="C116" s="11"/>
      <c r="D116" s="11"/>
      <c r="E116" s="11"/>
      <c r="F116" s="11"/>
      <c r="G116" s="11"/>
      <c r="H116" s="11"/>
      <c r="I116" s="11"/>
      <c r="J116" s="12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>
      <c r="A117" s="11"/>
      <c r="B117" s="11"/>
      <c r="C117" s="11"/>
      <c r="D117" s="11"/>
      <c r="E117" s="11"/>
      <c r="F117" s="11"/>
      <c r="G117" s="11"/>
      <c r="H117" s="11"/>
      <c r="I117" s="11"/>
      <c r="J117" s="15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pans="1:29">
      <c r="A118" s="11"/>
      <c r="B118" s="11"/>
      <c r="C118" s="11"/>
      <c r="D118" s="11"/>
      <c r="E118" s="11"/>
      <c r="F118" s="11"/>
      <c r="G118" s="11"/>
      <c r="H118" s="11"/>
      <c r="I118" s="11"/>
      <c r="J118" s="15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pans="1:29">
      <c r="A119" s="11"/>
      <c r="B119" s="11"/>
      <c r="C119" s="11"/>
      <c r="D119" s="11"/>
      <c r="E119" s="11"/>
      <c r="F119" s="11"/>
      <c r="G119" s="11"/>
      <c r="H119" s="11"/>
      <c r="I119" s="11"/>
      <c r="J119" s="12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pans="1:29">
      <c r="A120" s="11"/>
      <c r="B120" s="11"/>
      <c r="C120" s="11"/>
      <c r="D120" s="11"/>
      <c r="E120" s="11"/>
      <c r="F120" s="11"/>
      <c r="G120" s="11"/>
      <c r="H120" s="11"/>
      <c r="I120" s="11"/>
      <c r="J120" s="15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29">
      <c r="A121" s="11"/>
      <c r="B121" s="11"/>
      <c r="C121" s="11"/>
      <c r="D121" s="11"/>
      <c r="E121" s="11"/>
      <c r="F121" s="11"/>
      <c r="G121" s="11"/>
      <c r="H121" s="11"/>
      <c r="I121" s="11"/>
      <c r="J121" s="15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29">
      <c r="A122" s="11"/>
      <c r="B122" s="11"/>
      <c r="C122" s="11"/>
      <c r="D122" s="11"/>
      <c r="E122" s="11"/>
      <c r="F122" s="11"/>
      <c r="G122" s="11"/>
      <c r="H122" s="11"/>
      <c r="I122" s="11"/>
      <c r="J122" s="12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pans="1:29">
      <c r="A123" s="11"/>
      <c r="B123" s="11"/>
      <c r="C123" s="11"/>
      <c r="D123" s="11"/>
      <c r="E123" s="11"/>
      <c r="F123" s="11"/>
      <c r="G123" s="11"/>
      <c r="H123" s="11"/>
      <c r="I123" s="11"/>
      <c r="J123" s="15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>
      <c r="A124" s="11"/>
      <c r="B124" s="11"/>
      <c r="C124" s="11"/>
      <c r="D124" s="11"/>
      <c r="E124" s="11"/>
      <c r="F124" s="11"/>
      <c r="G124" s="11"/>
      <c r="H124" s="11"/>
      <c r="I124" s="11"/>
      <c r="J124" s="15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>
      <c r="A125" s="11"/>
      <c r="B125" s="11"/>
      <c r="C125" s="11"/>
      <c r="D125" s="11"/>
      <c r="E125" s="11"/>
      <c r="F125" s="11"/>
      <c r="G125" s="11"/>
      <c r="H125" s="11"/>
      <c r="I125" s="11"/>
      <c r="J125" s="12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pans="1:29">
      <c r="A126" s="11"/>
      <c r="B126" s="11"/>
      <c r="C126" s="11"/>
      <c r="D126" s="11"/>
      <c r="E126" s="11"/>
      <c r="F126" s="11"/>
      <c r="G126" s="11"/>
      <c r="H126" s="11"/>
      <c r="I126" s="11"/>
      <c r="J126" s="15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spans="1:29">
      <c r="A127" s="11"/>
      <c r="B127" s="11"/>
      <c r="C127" s="11"/>
      <c r="D127" s="11"/>
      <c r="E127" s="11"/>
      <c r="F127" s="11"/>
      <c r="G127" s="11"/>
      <c r="H127" s="11"/>
      <c r="I127" s="11"/>
      <c r="J127" s="15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pans="1:29">
      <c r="A128" s="11"/>
      <c r="B128" s="11"/>
      <c r="C128" s="11"/>
      <c r="D128" s="11"/>
      <c r="E128" s="11"/>
      <c r="F128" s="11"/>
      <c r="G128" s="11"/>
      <c r="H128" s="11"/>
      <c r="I128" s="11"/>
      <c r="J128" s="12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pans="1:29">
      <c r="A129" s="11"/>
      <c r="B129" s="11"/>
      <c r="C129" s="11"/>
      <c r="D129" s="11"/>
      <c r="E129" s="11"/>
      <c r="F129" s="11"/>
      <c r="G129" s="11"/>
      <c r="H129" s="11"/>
      <c r="I129" s="11"/>
      <c r="J129" s="15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pans="1:29">
      <c r="A130" s="11"/>
      <c r="B130" s="11"/>
      <c r="C130" s="11"/>
      <c r="D130" s="11"/>
      <c r="E130" s="11"/>
      <c r="F130" s="11"/>
      <c r="G130" s="11"/>
      <c r="H130" s="11"/>
      <c r="I130" s="11"/>
      <c r="J130" s="15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pans="1:29">
      <c r="A131" s="11"/>
      <c r="B131" s="11"/>
      <c r="C131" s="11"/>
      <c r="D131" s="11"/>
      <c r="E131" s="11"/>
      <c r="F131" s="11"/>
      <c r="G131" s="11"/>
      <c r="H131" s="11"/>
      <c r="I131" s="11"/>
      <c r="J131" s="12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pans="1:29">
      <c r="A132" s="11"/>
      <c r="B132" s="11"/>
      <c r="C132" s="11"/>
      <c r="D132" s="11"/>
      <c r="E132" s="11"/>
      <c r="F132" s="11"/>
      <c r="G132" s="11"/>
      <c r="H132" s="11"/>
      <c r="I132" s="11"/>
      <c r="J132" s="15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pans="1:29">
      <c r="A133" s="11"/>
      <c r="B133" s="11"/>
      <c r="C133" s="11"/>
      <c r="D133" s="11"/>
      <c r="E133" s="11"/>
      <c r="F133" s="11"/>
      <c r="G133" s="11"/>
      <c r="H133" s="11"/>
      <c r="I133" s="11"/>
      <c r="J133" s="15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pans="1:29">
      <c r="A134" s="11"/>
      <c r="B134" s="11"/>
      <c r="C134" s="11"/>
      <c r="D134" s="11"/>
      <c r="E134" s="11"/>
      <c r="F134" s="11"/>
      <c r="G134" s="11"/>
      <c r="H134" s="11"/>
      <c r="I134" s="11"/>
      <c r="J134" s="12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pans="1:29">
      <c r="A135" s="11"/>
      <c r="B135" s="11"/>
      <c r="C135" s="11"/>
      <c r="D135" s="11"/>
      <c r="E135" s="11"/>
      <c r="F135" s="11"/>
      <c r="G135" s="11"/>
      <c r="H135" s="11"/>
      <c r="I135" s="11"/>
      <c r="J135" s="15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pans="1:29">
      <c r="A136" s="11"/>
      <c r="B136" s="11"/>
      <c r="C136" s="11"/>
      <c r="D136" s="11"/>
      <c r="E136" s="11"/>
      <c r="F136" s="11"/>
      <c r="G136" s="11"/>
      <c r="H136" s="11"/>
      <c r="I136" s="11"/>
      <c r="J136" s="15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pans="1:29">
      <c r="A137" s="11"/>
      <c r="B137" s="11"/>
      <c r="C137" s="11"/>
      <c r="D137" s="11"/>
      <c r="E137" s="11"/>
      <c r="F137" s="11"/>
      <c r="G137" s="11"/>
      <c r="H137" s="11"/>
      <c r="I137" s="11"/>
      <c r="J137" s="12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pans="1:29">
      <c r="A138" s="11"/>
      <c r="B138" s="11"/>
      <c r="C138" s="11"/>
      <c r="D138" s="11"/>
      <c r="E138" s="11"/>
      <c r="F138" s="11"/>
      <c r="G138" s="11"/>
      <c r="H138" s="11"/>
      <c r="I138" s="11"/>
      <c r="J138" s="15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pans="1:29">
      <c r="A139" s="11"/>
      <c r="B139" s="11"/>
      <c r="C139" s="11"/>
      <c r="D139" s="11"/>
      <c r="E139" s="11"/>
      <c r="F139" s="11"/>
      <c r="G139" s="11"/>
      <c r="H139" s="11"/>
      <c r="I139" s="11"/>
      <c r="J139" s="15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pans="1:29">
      <c r="A140" s="11"/>
      <c r="B140" s="11"/>
      <c r="C140" s="11"/>
      <c r="D140" s="11"/>
      <c r="E140" s="11"/>
      <c r="F140" s="11"/>
      <c r="G140" s="11"/>
      <c r="H140" s="11"/>
      <c r="I140" s="11"/>
      <c r="J140" s="12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pans="1:29">
      <c r="A141" s="11"/>
      <c r="B141" s="11"/>
      <c r="C141" s="11"/>
      <c r="D141" s="11"/>
      <c r="E141" s="11"/>
      <c r="F141" s="11"/>
      <c r="G141" s="11"/>
      <c r="H141" s="11"/>
      <c r="I141" s="11"/>
      <c r="J141" s="15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pans="1:29">
      <c r="A142" s="11"/>
      <c r="B142" s="11"/>
      <c r="C142" s="11"/>
      <c r="D142" s="11"/>
      <c r="E142" s="11"/>
      <c r="F142" s="11"/>
      <c r="G142" s="11"/>
      <c r="H142" s="11"/>
      <c r="I142" s="11"/>
      <c r="J142" s="15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pans="1:29">
      <c r="A143" s="11"/>
      <c r="B143" s="11"/>
      <c r="C143" s="11"/>
      <c r="D143" s="11"/>
      <c r="E143" s="11"/>
      <c r="F143" s="11"/>
      <c r="G143" s="11"/>
      <c r="H143" s="11"/>
      <c r="I143" s="11"/>
      <c r="J143" s="12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pans="1:29">
      <c r="A144" s="11"/>
      <c r="B144" s="11"/>
      <c r="C144" s="11"/>
      <c r="D144" s="11"/>
      <c r="E144" s="11"/>
      <c r="F144" s="11"/>
      <c r="G144" s="11"/>
      <c r="H144" s="11"/>
      <c r="I144" s="11"/>
      <c r="J144" s="15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pans="1:29">
      <c r="A145" s="11"/>
      <c r="B145" s="11"/>
      <c r="C145" s="11"/>
      <c r="D145" s="11"/>
      <c r="E145" s="11"/>
      <c r="F145" s="11"/>
      <c r="G145" s="11"/>
      <c r="H145" s="11"/>
      <c r="I145" s="11"/>
      <c r="J145" s="15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pans="1:29">
      <c r="A146" s="11"/>
      <c r="B146" s="11"/>
      <c r="C146" s="11"/>
      <c r="D146" s="11"/>
      <c r="E146" s="11"/>
      <c r="F146" s="11"/>
      <c r="G146" s="11"/>
      <c r="H146" s="11"/>
      <c r="I146" s="11"/>
      <c r="J146" s="12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pans="1:29">
      <c r="A147" s="11"/>
      <c r="B147" s="11"/>
      <c r="C147" s="11"/>
      <c r="D147" s="11"/>
      <c r="E147" s="11"/>
      <c r="F147" s="11"/>
      <c r="G147" s="11"/>
      <c r="H147" s="11"/>
      <c r="I147" s="11"/>
      <c r="J147" s="15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pans="1:29">
      <c r="A148" s="11"/>
      <c r="B148" s="11"/>
      <c r="C148" s="11"/>
      <c r="D148" s="11"/>
      <c r="E148" s="11"/>
      <c r="F148" s="11"/>
      <c r="G148" s="11"/>
      <c r="H148" s="11"/>
      <c r="I148" s="11"/>
      <c r="J148" s="15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pans="1:29">
      <c r="A149" s="11"/>
      <c r="B149" s="11"/>
      <c r="C149" s="11"/>
      <c r="D149" s="11"/>
      <c r="E149" s="11"/>
      <c r="F149" s="11"/>
      <c r="G149" s="11"/>
      <c r="H149" s="11"/>
      <c r="I149" s="11"/>
      <c r="J149" s="12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pans="1:29">
      <c r="A150" s="11"/>
      <c r="B150" s="11"/>
      <c r="C150" s="11"/>
      <c r="D150" s="11"/>
      <c r="E150" s="11"/>
      <c r="F150" s="11"/>
      <c r="G150" s="11"/>
      <c r="H150" s="11"/>
      <c r="I150" s="11"/>
      <c r="J150" s="15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pans="1:29">
      <c r="A151" s="11"/>
      <c r="B151" s="11"/>
      <c r="C151" s="11"/>
      <c r="D151" s="11"/>
      <c r="E151" s="11"/>
      <c r="F151" s="11"/>
      <c r="G151" s="11"/>
      <c r="H151" s="11"/>
      <c r="I151" s="11"/>
      <c r="J151" s="15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pans="1:29">
      <c r="A152" s="11"/>
      <c r="B152" s="11"/>
      <c r="C152" s="11"/>
      <c r="D152" s="11"/>
      <c r="E152" s="11"/>
      <c r="F152" s="11"/>
      <c r="G152" s="11"/>
      <c r="H152" s="11"/>
      <c r="I152" s="11"/>
      <c r="J152" s="12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pans="1:29">
      <c r="A153" s="11"/>
      <c r="B153" s="11"/>
      <c r="C153" s="11"/>
      <c r="D153" s="11"/>
      <c r="E153" s="11"/>
      <c r="F153" s="11"/>
      <c r="G153" s="11"/>
      <c r="H153" s="11"/>
      <c r="I153" s="11"/>
      <c r="J153" s="15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pans="1:29">
      <c r="A154" s="11"/>
      <c r="B154" s="11"/>
      <c r="C154" s="11"/>
      <c r="D154" s="11"/>
      <c r="E154" s="11"/>
      <c r="F154" s="11"/>
      <c r="G154" s="11"/>
      <c r="H154" s="11"/>
      <c r="I154" s="11"/>
      <c r="J154" s="15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pans="1:29">
      <c r="A155" s="11"/>
      <c r="B155" s="11"/>
      <c r="C155" s="11"/>
      <c r="D155" s="11"/>
      <c r="E155" s="11"/>
      <c r="F155" s="11"/>
      <c r="G155" s="11"/>
      <c r="H155" s="11"/>
      <c r="I155" s="11"/>
      <c r="J155" s="12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pans="1:29">
      <c r="A156" s="11"/>
      <c r="B156" s="11"/>
      <c r="C156" s="11"/>
      <c r="D156" s="11"/>
      <c r="E156" s="11"/>
      <c r="F156" s="11"/>
      <c r="G156" s="11"/>
      <c r="J156" s="15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2ACC-9471-4928-9FE5-EB396C617813}">
  <dimension ref="A1:AC157"/>
  <sheetViews>
    <sheetView tabSelected="1" workbookViewId="0">
      <selection activeCell="E6" sqref="E6"/>
    </sheetView>
  </sheetViews>
  <sheetFormatPr defaultColWidth="8.9140625" defaultRowHeight="14"/>
  <cols>
    <col min="1" max="1" width="14.08203125" style="13" bestFit="1" customWidth="1"/>
    <col min="2" max="2" width="28" style="13" bestFit="1" customWidth="1"/>
    <col min="3" max="3" width="20.25" style="13" bestFit="1" customWidth="1"/>
    <col min="4" max="4" width="10.4140625" style="13" bestFit="1" customWidth="1"/>
    <col min="5" max="5" width="16.25" style="13" customWidth="1"/>
    <col min="6" max="6" width="14" style="13" bestFit="1" customWidth="1"/>
    <col min="7" max="7" width="9.9140625" style="13" bestFit="1" customWidth="1"/>
    <col min="8" max="8" width="14.4140625" style="13" customWidth="1"/>
    <col min="9" max="9" width="15.9140625" style="13" customWidth="1"/>
    <col min="10" max="10" width="8.9140625" style="13"/>
    <col min="11" max="11" width="19.75" style="13" bestFit="1" customWidth="1"/>
    <col min="12" max="12" width="17.58203125" style="13" bestFit="1" customWidth="1"/>
    <col min="13" max="13" width="15.33203125" style="13" bestFit="1" customWidth="1"/>
    <col min="14" max="14" width="21.9140625" style="13" bestFit="1" customWidth="1"/>
    <col min="15" max="15" width="19.08203125" style="13" customWidth="1"/>
    <col min="16" max="16384" width="8.9140625" style="13"/>
  </cols>
  <sheetData>
    <row r="1" spans="1:29" ht="17.5">
      <c r="A1" s="108" t="s">
        <v>86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29" ht="17.5">
      <c r="A2" s="112" t="s">
        <v>87</v>
      </c>
      <c r="B2" s="113"/>
      <c r="C2" s="113"/>
      <c r="D2" s="113"/>
      <c r="E2" s="113"/>
      <c r="F2" s="113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29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29">
      <c r="A4" s="11"/>
      <c r="B4" s="11"/>
      <c r="C4" s="11"/>
      <c r="D4" s="11"/>
      <c r="E4" s="11"/>
      <c r="F4" s="11"/>
      <c r="G4" s="11"/>
      <c r="H4" s="1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9">
      <c r="A5" s="14"/>
      <c r="B5" s="14"/>
      <c r="C5" s="14"/>
      <c r="D5" s="14"/>
      <c r="E5" s="14"/>
      <c r="F5" s="14"/>
      <c r="G5" s="14"/>
      <c r="H5" s="15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9">
      <c r="A6" s="16"/>
      <c r="B6" s="17" t="s">
        <v>27</v>
      </c>
      <c r="C6" s="16"/>
      <c r="D6" s="16"/>
      <c r="E6" s="18"/>
      <c r="F6" s="19"/>
      <c r="G6" s="16"/>
      <c r="H6" s="20"/>
      <c r="I6" s="20"/>
      <c r="J6" s="18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>
      <c r="A7" s="21"/>
      <c r="B7" s="22"/>
      <c r="C7" s="22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9" ht="14.4" customHeight="1">
      <c r="A8" s="23"/>
      <c r="B8" s="24" t="s">
        <v>28</v>
      </c>
      <c r="C8" s="25" t="s">
        <v>29</v>
      </c>
      <c r="D8" s="26"/>
      <c r="E8" s="24" t="s">
        <v>28</v>
      </c>
      <c r="F8" s="25" t="s">
        <v>29</v>
      </c>
      <c r="G8" s="27"/>
      <c r="H8" s="24" t="s">
        <v>28</v>
      </c>
      <c r="I8" s="25" t="s">
        <v>29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</row>
    <row r="9" spans="1:29" ht="13.75" customHeight="1">
      <c r="A9" s="23"/>
      <c r="B9" s="30" t="s">
        <v>30</v>
      </c>
      <c r="C9" s="31">
        <v>5</v>
      </c>
      <c r="D9" s="26"/>
      <c r="E9" s="30" t="s">
        <v>31</v>
      </c>
      <c r="F9" s="31">
        <v>5</v>
      </c>
      <c r="G9" s="32"/>
      <c r="H9" s="30" t="s">
        <v>32</v>
      </c>
      <c r="I9" s="31" t="s">
        <v>33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</row>
    <row r="10" spans="1:29">
      <c r="A10" s="23"/>
      <c r="B10" s="33" t="s">
        <v>34</v>
      </c>
      <c r="C10" s="34">
        <v>0.23</v>
      </c>
      <c r="D10" s="35"/>
      <c r="E10" s="33" t="s">
        <v>35</v>
      </c>
      <c r="F10" s="34">
        <v>0.18</v>
      </c>
      <c r="G10" s="36"/>
      <c r="H10" s="33" t="s">
        <v>36</v>
      </c>
      <c r="I10" s="34">
        <v>0.10199999999999999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</row>
    <row r="11" spans="1:29">
      <c r="A11" s="23"/>
      <c r="B11" s="37" t="s">
        <v>37</v>
      </c>
      <c r="C11" s="34">
        <v>0.25</v>
      </c>
      <c r="D11" s="35"/>
      <c r="E11" s="37" t="s">
        <v>37</v>
      </c>
      <c r="F11" s="34">
        <v>0.25</v>
      </c>
      <c r="G11" s="32"/>
      <c r="H11" s="37" t="s">
        <v>37</v>
      </c>
      <c r="I11" s="34">
        <v>0.25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 spans="1:29">
      <c r="A12" s="23"/>
      <c r="B12" s="37" t="s">
        <v>38</v>
      </c>
      <c r="C12" s="34">
        <v>3.4799999999999998E-2</v>
      </c>
      <c r="D12" s="35"/>
      <c r="E12" s="37" t="s">
        <v>38</v>
      </c>
      <c r="F12" s="34">
        <f>C12</f>
        <v>3.4799999999999998E-2</v>
      </c>
      <c r="G12" s="32"/>
      <c r="H12" s="37" t="s">
        <v>38</v>
      </c>
      <c r="I12" s="34">
        <f>F12</f>
        <v>3.4799999999999998E-2</v>
      </c>
      <c r="J12" s="15"/>
      <c r="K12" s="38"/>
      <c r="L12" s="39"/>
      <c r="M12" s="38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</row>
    <row r="13" spans="1:29">
      <c r="A13" s="23"/>
      <c r="B13" s="37" t="s">
        <v>39</v>
      </c>
      <c r="C13" s="40" t="s">
        <v>73</v>
      </c>
      <c r="D13" s="35"/>
      <c r="E13" s="37" t="s">
        <v>39</v>
      </c>
      <c r="F13" s="40" t="str">
        <f>C13</f>
        <v>1.15</v>
      </c>
      <c r="G13" s="32"/>
      <c r="H13" s="37" t="s">
        <v>39</v>
      </c>
      <c r="I13" s="40" t="str">
        <f>F13</f>
        <v>1.15</v>
      </c>
      <c r="J13" s="12"/>
      <c r="K13" s="41" t="s">
        <v>40</v>
      </c>
      <c r="L13" s="42" t="s">
        <v>76</v>
      </c>
      <c r="M13" s="42" t="s">
        <v>74</v>
      </c>
      <c r="N13" s="42" t="s">
        <v>41</v>
      </c>
      <c r="O13" s="43" t="s">
        <v>42</v>
      </c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9">
      <c r="A14" s="23"/>
      <c r="B14" s="44" t="s">
        <v>43</v>
      </c>
      <c r="C14" s="34">
        <v>0.1091</v>
      </c>
      <c r="D14" s="35"/>
      <c r="E14" s="44" t="s">
        <v>43</v>
      </c>
      <c r="F14" s="34">
        <f>C14</f>
        <v>0.1091</v>
      </c>
      <c r="G14" s="32"/>
      <c r="H14" s="44" t="s">
        <v>43</v>
      </c>
      <c r="I14" s="34">
        <f>F14</f>
        <v>0.1091</v>
      </c>
      <c r="J14" s="15"/>
      <c r="K14" s="45">
        <v>97.85</v>
      </c>
      <c r="L14" s="45">
        <v>30.62</v>
      </c>
      <c r="M14" s="45">
        <v>71.69</v>
      </c>
      <c r="N14" s="45">
        <f>(K14-L14-M14)</f>
        <v>-4.460000000000008</v>
      </c>
      <c r="O14" s="46">
        <v>2021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9">
      <c r="A15" s="23"/>
      <c r="B15" s="44" t="s">
        <v>44</v>
      </c>
      <c r="C15" s="34">
        <f>C12+C13*(C14-C12)</f>
        <v>0.12024499999999999</v>
      </c>
      <c r="D15" s="35"/>
      <c r="E15" s="44" t="s">
        <v>44</v>
      </c>
      <c r="F15" s="34">
        <f>C12+C13*(C14-C12)</f>
        <v>0.12024499999999999</v>
      </c>
      <c r="G15" s="32"/>
      <c r="H15" s="44" t="s">
        <v>44</v>
      </c>
      <c r="I15" s="34">
        <f>C12+C13*(C14-C12)</f>
        <v>0.12024499999999999</v>
      </c>
      <c r="J15" s="15"/>
      <c r="K15" s="45">
        <v>218.78</v>
      </c>
      <c r="L15" s="45">
        <v>17.079999999999998</v>
      </c>
      <c r="M15" s="45">
        <v>30.26</v>
      </c>
      <c r="N15" s="45">
        <f t="shared" ref="N15:N19" si="0">(K15-L15-M15)</f>
        <v>171.44</v>
      </c>
      <c r="O15" s="46">
        <v>2020</v>
      </c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9">
      <c r="A16" s="23"/>
      <c r="B16" s="44" t="s">
        <v>45</v>
      </c>
      <c r="C16" s="34">
        <v>3.4700000000000002E-2</v>
      </c>
      <c r="D16" s="35"/>
      <c r="E16" s="44" t="s">
        <v>45</v>
      </c>
      <c r="F16" s="34">
        <f>C16</f>
        <v>3.4700000000000002E-2</v>
      </c>
      <c r="G16" s="32"/>
      <c r="H16" s="44" t="s">
        <v>45</v>
      </c>
      <c r="I16" s="34">
        <f>F16</f>
        <v>3.4700000000000002E-2</v>
      </c>
      <c r="J16" s="12"/>
      <c r="K16" s="45">
        <v>238.1</v>
      </c>
      <c r="L16" s="45">
        <v>13.81</v>
      </c>
      <c r="M16" s="45">
        <v>34.049999999999997</v>
      </c>
      <c r="N16" s="45">
        <f t="shared" si="0"/>
        <v>190.24</v>
      </c>
      <c r="O16" s="46">
        <v>2019</v>
      </c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9">
      <c r="A17" s="29"/>
      <c r="B17" s="47" t="s">
        <v>46</v>
      </c>
      <c r="C17" s="48">
        <f>23382956.89*10000</f>
        <v>233829568900</v>
      </c>
      <c r="D17" s="49"/>
      <c r="E17" s="47" t="s">
        <v>46</v>
      </c>
      <c r="F17" s="48">
        <f>C17</f>
        <v>233829568900</v>
      </c>
      <c r="G17" s="32"/>
      <c r="H17" s="47" t="s">
        <v>46</v>
      </c>
      <c r="I17" s="48">
        <f>F17</f>
        <v>233829568900</v>
      </c>
      <c r="J17" s="15"/>
      <c r="K17" s="45">
        <v>-14.15</v>
      </c>
      <c r="L17" s="45">
        <v>7.48</v>
      </c>
      <c r="M17" s="45">
        <v>37.85</v>
      </c>
      <c r="N17" s="45">
        <f t="shared" si="0"/>
        <v>-59.480000000000004</v>
      </c>
      <c r="O17" s="46">
        <v>2018</v>
      </c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9">
      <c r="A18" s="29"/>
      <c r="B18" s="47" t="s">
        <v>47</v>
      </c>
      <c r="C18" s="48">
        <f>(922171.6+2049221.3)*10000</f>
        <v>29713929000</v>
      </c>
      <c r="D18" s="29"/>
      <c r="E18" s="47" t="s">
        <v>47</v>
      </c>
      <c r="F18" s="48">
        <f>C18</f>
        <v>29713929000</v>
      </c>
      <c r="G18" s="29"/>
      <c r="H18" s="47" t="s">
        <v>47</v>
      </c>
      <c r="I18" s="48">
        <f>F18</f>
        <v>29713929000</v>
      </c>
      <c r="J18" s="15"/>
      <c r="K18" s="45">
        <v>-9.9600000000000009</v>
      </c>
      <c r="L18" s="45">
        <v>3.61</v>
      </c>
      <c r="M18" s="45">
        <v>12.18</v>
      </c>
      <c r="N18" s="45">
        <f t="shared" si="0"/>
        <v>-25.75</v>
      </c>
      <c r="O18" s="46">
        <v>2017</v>
      </c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9">
      <c r="A19" s="29"/>
      <c r="B19" s="50" t="s">
        <v>48</v>
      </c>
      <c r="C19" s="51">
        <f>((C15*C17)+(C16*C18))/(C17+C18)</f>
        <v>0.11059999613323981</v>
      </c>
      <c r="D19" s="29"/>
      <c r="E19" s="50" t="s">
        <v>48</v>
      </c>
      <c r="F19" s="51">
        <f>((F15*F17)+(F16*F18))/(F17+F18)</f>
        <v>0.11059999613323981</v>
      </c>
      <c r="G19" s="29"/>
      <c r="H19" s="50" t="s">
        <v>48</v>
      </c>
      <c r="I19" s="51">
        <f>((I15*I17)+(I16*I18))/(I17+I18)</f>
        <v>0.11059999613323981</v>
      </c>
      <c r="J19" s="12"/>
      <c r="K19" s="45">
        <v>47.15</v>
      </c>
      <c r="L19" s="45">
        <v>2.4</v>
      </c>
      <c r="M19" s="45">
        <v>18.260000000000002</v>
      </c>
      <c r="N19" s="45">
        <f t="shared" si="0"/>
        <v>26.49</v>
      </c>
      <c r="O19" s="46">
        <v>2016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9">
      <c r="A20" s="29"/>
      <c r="B20" s="29"/>
      <c r="C20" s="29"/>
      <c r="D20" s="29"/>
      <c r="E20" s="29"/>
      <c r="G20" s="29"/>
      <c r="H20" s="29"/>
      <c r="I20" s="29"/>
      <c r="J20" s="15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</row>
    <row r="21" spans="1:29">
      <c r="A21" s="29"/>
      <c r="B21" s="52"/>
      <c r="C21" s="52"/>
      <c r="D21" s="52"/>
      <c r="E21" s="52"/>
      <c r="F21" s="52"/>
      <c r="G21" s="52"/>
      <c r="H21" s="29"/>
      <c r="I21" s="29"/>
      <c r="J21" s="15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</row>
    <row r="22" spans="1:29" ht="15" customHeight="1">
      <c r="A22" s="23"/>
      <c r="B22" s="53" t="s">
        <v>49</v>
      </c>
      <c r="C22" s="54" t="s">
        <v>50</v>
      </c>
      <c r="D22" s="55" t="s">
        <v>51</v>
      </c>
      <c r="E22" s="54" t="s">
        <v>52</v>
      </c>
      <c r="F22" s="55" t="s">
        <v>53</v>
      </c>
      <c r="G22" s="54" t="s">
        <v>54</v>
      </c>
      <c r="H22" s="29"/>
      <c r="I22" s="29"/>
      <c r="J22" s="12"/>
      <c r="K22" s="56" t="s">
        <v>40</v>
      </c>
      <c r="L22" s="42" t="s">
        <v>76</v>
      </c>
      <c r="M22" s="56" t="s">
        <v>75</v>
      </c>
      <c r="N22" s="56" t="s">
        <v>55</v>
      </c>
      <c r="O22" s="57" t="s">
        <v>56</v>
      </c>
      <c r="P22" s="11"/>
      <c r="Q22" s="11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</row>
    <row r="23" spans="1:29">
      <c r="A23" s="23"/>
      <c r="B23" s="59" t="s">
        <v>57</v>
      </c>
      <c r="C23" s="60">
        <f>AVERAGE(N14:N19)*(1+$C$10)</f>
        <v>61.188400000000001</v>
      </c>
      <c r="D23" s="60">
        <f>C23*(1+$C$10)</f>
        <v>75.261731999999995</v>
      </c>
      <c r="E23" s="60">
        <f>D23*(1+$C$10)</f>
        <v>92.571930359999996</v>
      </c>
      <c r="F23" s="61">
        <f>E23*(1+$C$10)</f>
        <v>113.86347434279999</v>
      </c>
      <c r="G23" s="62">
        <f>F23*(1+$C$10)</f>
        <v>140.05207344164398</v>
      </c>
      <c r="H23" s="29"/>
      <c r="I23" s="29"/>
      <c r="J23" s="63"/>
      <c r="K23" s="45">
        <f>K14*(1+$C$10)</f>
        <v>120.35549999999999</v>
      </c>
      <c r="L23" s="45">
        <f>L14*(1+$C$10)</f>
        <v>37.662599999999998</v>
      </c>
      <c r="M23" s="45">
        <f>M14*(1+$C$10)</f>
        <v>88.178699999999992</v>
      </c>
      <c r="N23" s="45">
        <f>(AVERAGE(N13:N19))*(1+$C$10)</f>
        <v>61.188400000000001</v>
      </c>
      <c r="O23" s="64">
        <v>2022</v>
      </c>
      <c r="P23" s="65"/>
      <c r="Q23" s="11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9" ht="14.4" customHeight="1">
      <c r="A24" s="23"/>
      <c r="B24" s="66" t="s">
        <v>58</v>
      </c>
      <c r="C24" s="29">
        <f>C23/(1+$C$19)^1</f>
        <v>55.09490384750476</v>
      </c>
      <c r="D24" s="29">
        <f>D23/(1+$C$19)^2</f>
        <v>61.018127110006581</v>
      </c>
      <c r="E24" s="29">
        <f>E23/(1+$C$19)^3</f>
        <v>67.578152896287236</v>
      </c>
      <c r="F24" s="23">
        <f>F23/(1+$C$19)^4</f>
        <v>74.843443500661763</v>
      </c>
      <c r="G24" s="62">
        <f>G23/(1+$C$19)^5</f>
        <v>82.889821561614468</v>
      </c>
      <c r="H24" s="29"/>
      <c r="I24" s="29"/>
      <c r="J24" s="63"/>
      <c r="K24" s="45">
        <f>K23*(1+$C$10)</f>
        <v>148.03726499999999</v>
      </c>
      <c r="L24" s="45">
        <f>L23*(1+$C$10)</f>
        <v>46.324997999999994</v>
      </c>
      <c r="M24" s="45">
        <f>M23*(1+$C$10)</f>
        <v>108.45980099999998</v>
      </c>
      <c r="N24" s="45">
        <f>N23*(1+$C$10)</f>
        <v>75.261731999999995</v>
      </c>
      <c r="O24" s="67">
        <v>2023</v>
      </c>
      <c r="P24" s="65"/>
      <c r="Q24" s="11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9" ht="15" customHeight="1">
      <c r="A25" s="68"/>
      <c r="B25" s="69" t="s">
        <v>59</v>
      </c>
      <c r="C25" s="70" t="s">
        <v>60</v>
      </c>
      <c r="D25" s="70" t="s">
        <v>61</v>
      </c>
      <c r="E25" s="70" t="s">
        <v>62</v>
      </c>
      <c r="F25" s="70" t="s">
        <v>63</v>
      </c>
      <c r="G25" s="54" t="s">
        <v>64</v>
      </c>
      <c r="H25" s="29"/>
      <c r="I25" s="29"/>
      <c r="J25" s="71"/>
      <c r="K25" s="45">
        <f t="shared" ref="K25:M27" si="1">K24*(1+$C$10)</f>
        <v>182.08583594999999</v>
      </c>
      <c r="L25" s="45">
        <f t="shared" si="1"/>
        <v>56.979747539999991</v>
      </c>
      <c r="M25" s="45">
        <f t="shared" si="1"/>
        <v>133.40555522999998</v>
      </c>
      <c r="N25" s="45">
        <f t="shared" ref="N25:N27" si="2">N24*(1+$C$10)</f>
        <v>92.571930359999996</v>
      </c>
      <c r="O25" s="67">
        <v>2024</v>
      </c>
      <c r="P25" s="28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9" ht="13.25" customHeight="1">
      <c r="A26" s="23"/>
      <c r="B26" s="72" t="s">
        <v>57</v>
      </c>
      <c r="C26" s="52">
        <f>G23*(1+$F$10)</f>
        <v>165.2614466611399</v>
      </c>
      <c r="D26" s="52">
        <f>C26*(1+$F$10)</f>
        <v>195.00850706014506</v>
      </c>
      <c r="E26" s="52">
        <f t="shared" ref="E26:G26" si="3">D26*(1+$F$10)</f>
        <v>230.11003833097115</v>
      </c>
      <c r="F26" s="52">
        <f t="shared" si="3"/>
        <v>271.52984523054596</v>
      </c>
      <c r="G26" s="52">
        <f t="shared" si="3"/>
        <v>320.40521737204421</v>
      </c>
      <c r="H26" s="29"/>
      <c r="I26" s="29"/>
      <c r="J26" s="63"/>
      <c r="K26" s="45">
        <f t="shared" si="1"/>
        <v>223.96557821849999</v>
      </c>
      <c r="L26" s="45">
        <f t="shared" si="1"/>
        <v>70.085089474199989</v>
      </c>
      <c r="M26" s="45">
        <f t="shared" si="1"/>
        <v>164.08883293289998</v>
      </c>
      <c r="N26" s="45">
        <f t="shared" si="2"/>
        <v>113.86347434279999</v>
      </c>
      <c r="O26" s="67">
        <v>2025</v>
      </c>
      <c r="P26" s="73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</row>
    <row r="27" spans="1:29" ht="13.25" customHeight="1">
      <c r="A27" s="23"/>
      <c r="B27" s="74" t="s">
        <v>58</v>
      </c>
      <c r="C27" s="62">
        <f>C26/(1+$C$19)^6</f>
        <v>88.069502776200906</v>
      </c>
      <c r="D27" s="62">
        <f>D26/(1+$C$19)^7</f>
        <v>93.572855787629081</v>
      </c>
      <c r="E27" s="62">
        <f>E26/(1+$C$19)^8</f>
        <v>99.420106441415442</v>
      </c>
      <c r="F27" s="62">
        <f>F26/(1+$C$19)^9</f>
        <v>105.63274447085064</v>
      </c>
      <c r="G27" s="62">
        <f>G26/(1+$C$19)^10</f>
        <v>112.23360247576461</v>
      </c>
      <c r="H27" s="29"/>
      <c r="I27" s="29"/>
      <c r="J27" s="63"/>
      <c r="K27" s="45">
        <f t="shared" si="1"/>
        <v>275.47766120875497</v>
      </c>
      <c r="L27" s="45">
        <f t="shared" si="1"/>
        <v>86.204660053265982</v>
      </c>
      <c r="M27" s="45">
        <f t="shared" si="1"/>
        <v>201.82926450746697</v>
      </c>
      <c r="N27" s="45">
        <f t="shared" si="2"/>
        <v>140.05207344164398</v>
      </c>
      <c r="O27" s="67">
        <v>2026</v>
      </c>
      <c r="P27" s="65"/>
      <c r="Q27" s="11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 spans="1:29" ht="15" customHeight="1">
      <c r="A28" s="23"/>
      <c r="B28" s="53" t="s">
        <v>65</v>
      </c>
      <c r="C28" s="54" t="s">
        <v>66</v>
      </c>
      <c r="D28" s="75"/>
      <c r="E28" s="76"/>
      <c r="F28" s="77"/>
      <c r="G28" s="78"/>
      <c r="H28" s="79"/>
      <c r="I28" s="79"/>
      <c r="J28" s="71"/>
      <c r="K28" s="45">
        <f>K27*(1+$F$10)</f>
        <v>325.06364022633085</v>
      </c>
      <c r="L28" s="45">
        <f>L27*(1+$F$10)</f>
        <v>101.72149886285385</v>
      </c>
      <c r="M28" s="45">
        <f>M27*(1+$F$10)</f>
        <v>238.15853211881102</v>
      </c>
      <c r="N28" s="45">
        <f>N27*(1+$F$10)</f>
        <v>165.2614466611399</v>
      </c>
      <c r="O28" s="80">
        <v>2027</v>
      </c>
      <c r="P28" s="65"/>
      <c r="Q28" s="11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 spans="1:29" ht="12" customHeight="1">
      <c r="A29" s="63"/>
      <c r="B29" s="81" t="s">
        <v>58</v>
      </c>
      <c r="C29" s="62">
        <f>(G27*(1+I10))/((C19-I10)*((1+C19)^10))</f>
        <v>5037.6682650955272</v>
      </c>
      <c r="D29" s="82"/>
      <c r="E29" s="15"/>
      <c r="F29" s="83"/>
      <c r="G29" s="84"/>
      <c r="H29" s="63"/>
      <c r="I29" s="63"/>
      <c r="J29" s="63"/>
      <c r="K29" s="45">
        <f t="shared" ref="K29:M32" si="4">K28*(1+$F$10)</f>
        <v>383.57509546707035</v>
      </c>
      <c r="L29" s="45">
        <f t="shared" si="4"/>
        <v>120.03136865816754</v>
      </c>
      <c r="M29" s="45">
        <f t="shared" si="4"/>
        <v>281.02706790019698</v>
      </c>
      <c r="N29" s="45">
        <f t="shared" ref="N29:N32" si="5">N28*(1+$F$10)</f>
        <v>195.00850706014506</v>
      </c>
      <c r="O29" s="80">
        <v>2028</v>
      </c>
      <c r="P29" s="65"/>
      <c r="Q29" s="11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9">
      <c r="A30" s="15"/>
      <c r="B30" s="76"/>
      <c r="C30" s="76"/>
      <c r="D30" s="15"/>
      <c r="E30" s="15"/>
      <c r="F30" s="85"/>
      <c r="G30" s="15"/>
      <c r="H30" s="63"/>
      <c r="I30" s="63"/>
      <c r="J30" s="63"/>
      <c r="K30" s="45">
        <f t="shared" si="4"/>
        <v>452.618612651143</v>
      </c>
      <c r="L30" s="45">
        <f t="shared" si="4"/>
        <v>141.63701501663769</v>
      </c>
      <c r="M30" s="45">
        <f t="shared" si="4"/>
        <v>331.6119401222324</v>
      </c>
      <c r="N30" s="45">
        <f t="shared" si="5"/>
        <v>230.11003833097115</v>
      </c>
      <c r="O30" s="80">
        <v>2029</v>
      </c>
      <c r="P30" s="65"/>
      <c r="Q30" s="11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9">
      <c r="A31" s="29"/>
      <c r="B31" s="83"/>
      <c r="C31" s="12"/>
      <c r="D31" s="83"/>
      <c r="E31" s="29"/>
      <c r="F31" s="15"/>
      <c r="G31" s="15"/>
      <c r="H31" s="63"/>
      <c r="I31" s="63"/>
      <c r="J31" s="71"/>
      <c r="K31" s="45">
        <f t="shared" si="4"/>
        <v>534.08996292834865</v>
      </c>
      <c r="L31" s="45">
        <f t="shared" si="4"/>
        <v>167.13167771963248</v>
      </c>
      <c r="M31" s="45">
        <f t="shared" si="4"/>
        <v>391.30208934423422</v>
      </c>
      <c r="N31" s="45">
        <f t="shared" si="5"/>
        <v>271.52984523054596</v>
      </c>
      <c r="O31" s="80">
        <v>2030</v>
      </c>
      <c r="P31" s="65"/>
      <c r="Q31" s="11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9">
      <c r="A32" s="29"/>
      <c r="B32" s="86" t="s">
        <v>67</v>
      </c>
      <c r="C32" s="87" t="s">
        <v>68</v>
      </c>
      <c r="D32" s="88" t="s">
        <v>69</v>
      </c>
      <c r="E32" s="29"/>
      <c r="F32" s="15"/>
      <c r="G32" s="15"/>
      <c r="H32" s="29"/>
      <c r="I32" s="23"/>
      <c r="J32" s="63"/>
      <c r="K32" s="45">
        <f t="shared" si="4"/>
        <v>630.22615625545143</v>
      </c>
      <c r="L32" s="45">
        <f t="shared" si="4"/>
        <v>197.21537970916631</v>
      </c>
      <c r="M32" s="45">
        <f t="shared" si="4"/>
        <v>461.73646542619633</v>
      </c>
      <c r="N32" s="45">
        <f t="shared" si="5"/>
        <v>320.40521737204421</v>
      </c>
      <c r="O32" s="89">
        <v>2031</v>
      </c>
      <c r="P32" s="65"/>
      <c r="Q32" s="11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9">
      <c r="A33" s="15"/>
      <c r="B33" s="90" t="s">
        <v>49</v>
      </c>
      <c r="C33" s="91">
        <f>C24+D24+E24+F24+G24</f>
        <v>341.42444891607477</v>
      </c>
      <c r="D33" s="34">
        <f>C33/(C33+C34+C35)</f>
        <v>5.8084926604638813E-2</v>
      </c>
      <c r="E33" s="15"/>
      <c r="F33" s="29"/>
      <c r="G33" s="29"/>
      <c r="H33" s="29"/>
      <c r="I33" s="29"/>
      <c r="J33" s="15"/>
      <c r="K33" s="60"/>
      <c r="L33" s="60"/>
      <c r="M33" s="60"/>
      <c r="N33" s="60"/>
      <c r="O33" s="60"/>
      <c r="P33" s="60"/>
      <c r="Q33" s="11"/>
      <c r="R33" s="11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</row>
    <row r="34" spans="1:29" ht="13.75" customHeight="1">
      <c r="A34" s="15"/>
      <c r="B34" s="90" t="s">
        <v>59</v>
      </c>
      <c r="C34" s="92">
        <f>SUM(C27:G27)</f>
        <v>498.92881195186067</v>
      </c>
      <c r="D34" s="93">
        <f>C34/(C34+C33+C35)</f>
        <v>8.4880398914510879E-2</v>
      </c>
      <c r="E34" s="15"/>
      <c r="F34" s="29"/>
      <c r="G34" s="29"/>
      <c r="H34" s="62"/>
      <c r="I34" s="62"/>
      <c r="J34" s="12"/>
      <c r="K34" s="29"/>
      <c r="L34" s="29"/>
      <c r="M34" s="29"/>
      <c r="N34" s="29"/>
      <c r="O34" s="29"/>
      <c r="P34" s="11"/>
      <c r="Q34" s="11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</row>
    <row r="35" spans="1:29">
      <c r="A35" s="29"/>
      <c r="B35" s="90" t="s">
        <v>65</v>
      </c>
      <c r="C35" s="92">
        <f>C29</f>
        <v>5037.6682650955272</v>
      </c>
      <c r="D35" s="93">
        <f>C35/(C35+C34+C33)</f>
        <v>0.85703467448085036</v>
      </c>
      <c r="E35" s="29"/>
      <c r="F35" s="62"/>
      <c r="G35" s="62"/>
      <c r="H35" s="62"/>
      <c r="I35" s="62"/>
      <c r="J35" s="15"/>
      <c r="K35" s="29"/>
      <c r="L35" s="29"/>
      <c r="M35" s="11"/>
      <c r="N35" s="11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</row>
    <row r="36" spans="1:29">
      <c r="A36" s="29"/>
      <c r="B36" s="94" t="s">
        <v>70</v>
      </c>
      <c r="C36" s="95">
        <f>SUM(C33:C35)</f>
        <v>5878.0215259634624</v>
      </c>
      <c r="D36" s="96">
        <f>(C33+C34+C35)/C36</f>
        <v>1</v>
      </c>
      <c r="E36" s="29"/>
      <c r="F36" s="62"/>
      <c r="G36" s="62"/>
      <c r="H36" s="97"/>
      <c r="I36" s="97"/>
      <c r="J36" s="15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</row>
    <row r="37" spans="1:29" ht="14.4" customHeight="1">
      <c r="A37" s="15"/>
      <c r="B37" s="98"/>
      <c r="C37" s="91"/>
      <c r="D37" s="99"/>
      <c r="E37" s="15"/>
      <c r="F37" s="97"/>
      <c r="G37" s="97"/>
      <c r="H37" s="62"/>
      <c r="I37" s="62"/>
      <c r="J37" s="12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</row>
    <row r="38" spans="1:29">
      <c r="A38" s="15"/>
      <c r="B38" s="29"/>
      <c r="C38" s="29"/>
      <c r="D38" s="29"/>
      <c r="E38" s="15"/>
      <c r="F38" s="62"/>
      <c r="G38" s="62"/>
      <c r="H38" s="62"/>
      <c r="I38" s="62"/>
      <c r="J38" s="15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</row>
    <row r="39" spans="1:29">
      <c r="A39" s="29"/>
      <c r="B39" s="86" t="s">
        <v>71</v>
      </c>
      <c r="C39" s="29"/>
      <c r="D39" s="29"/>
      <c r="E39" s="29"/>
      <c r="F39" s="62"/>
      <c r="G39" s="62"/>
      <c r="H39" s="62"/>
      <c r="I39" s="62"/>
      <c r="J39" s="15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</row>
    <row r="40" spans="1:29">
      <c r="A40" s="62"/>
      <c r="B40" s="100" t="s">
        <v>77</v>
      </c>
      <c r="C40" s="62"/>
      <c r="D40" s="29"/>
      <c r="E40" s="62"/>
      <c r="F40" s="62"/>
      <c r="G40" s="62"/>
      <c r="H40" s="62"/>
      <c r="I40" s="62"/>
      <c r="J40" s="1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</row>
    <row r="41" spans="1:29">
      <c r="A41" s="62"/>
      <c r="B41" s="62"/>
      <c r="C41" s="62"/>
      <c r="D41" s="62"/>
      <c r="E41" s="62"/>
      <c r="F41" s="62"/>
      <c r="G41" s="62"/>
      <c r="H41" s="62"/>
      <c r="I41" s="62"/>
      <c r="J41" s="15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</row>
    <row r="42" spans="1:29">
      <c r="A42" s="62"/>
      <c r="B42" s="101" t="s">
        <v>72</v>
      </c>
      <c r="C42" s="97"/>
      <c r="D42" s="97"/>
      <c r="E42" s="62"/>
      <c r="F42" s="62"/>
      <c r="G42" s="62"/>
      <c r="H42" s="62"/>
      <c r="I42" s="62"/>
      <c r="J42" s="15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</row>
    <row r="43" spans="1:29">
      <c r="A43" s="62"/>
      <c r="B43" s="102">
        <f>C36/B40</f>
        <v>23.490474866976232</v>
      </c>
      <c r="C43" s="62"/>
      <c r="D43" s="62"/>
      <c r="E43" s="62"/>
      <c r="F43" s="62"/>
      <c r="G43" s="62"/>
      <c r="H43" s="62"/>
      <c r="I43" s="62"/>
      <c r="J43" s="1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</row>
    <row r="44" spans="1:29">
      <c r="A44" s="62"/>
      <c r="B44" s="62"/>
      <c r="C44" s="62"/>
      <c r="D44" s="62"/>
      <c r="E44" s="62"/>
      <c r="F44" s="62"/>
      <c r="G44" s="62"/>
      <c r="H44" s="62"/>
      <c r="I44" s="62"/>
      <c r="J44" s="1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</row>
    <row r="45" spans="1:29">
      <c r="A45" s="62"/>
      <c r="B45" s="62"/>
      <c r="C45" s="62"/>
      <c r="D45" s="62"/>
      <c r="E45" s="62"/>
      <c r="F45" s="62"/>
      <c r="G45" s="62"/>
      <c r="H45" s="62"/>
      <c r="I45" s="62"/>
      <c r="J45" s="1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</row>
    <row r="46" spans="1:29">
      <c r="A46" s="62"/>
      <c r="B46" s="62"/>
      <c r="C46" s="62"/>
      <c r="D46" s="62"/>
      <c r="E46" s="62"/>
      <c r="F46" s="62"/>
      <c r="G46" s="62"/>
      <c r="H46" s="62"/>
      <c r="I46" s="62"/>
      <c r="J46" s="15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</row>
    <row r="47" spans="1:29">
      <c r="A47" s="62"/>
      <c r="B47" s="62"/>
      <c r="C47" s="62"/>
      <c r="D47" s="62"/>
      <c r="E47" s="62"/>
      <c r="F47" s="62"/>
      <c r="G47" s="62"/>
      <c r="H47" s="62"/>
      <c r="I47" s="62"/>
      <c r="J47" s="15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</row>
    <row r="48" spans="1:29">
      <c r="A48" s="62"/>
      <c r="B48" s="62"/>
      <c r="C48" s="62"/>
      <c r="D48" s="62"/>
      <c r="E48" s="62"/>
      <c r="F48" s="62"/>
      <c r="G48" s="62"/>
      <c r="H48" s="62"/>
      <c r="I48" s="62"/>
      <c r="J48" s="1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</row>
    <row r="49" spans="1:29">
      <c r="A49" s="62"/>
      <c r="B49" s="62"/>
      <c r="C49" s="62"/>
      <c r="D49" s="62"/>
      <c r="E49" s="62"/>
      <c r="F49" s="62"/>
      <c r="G49" s="62"/>
      <c r="H49" s="62"/>
      <c r="I49" s="62"/>
      <c r="J49" s="15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</row>
    <row r="50" spans="1:29">
      <c r="A50" s="62"/>
      <c r="B50" s="62"/>
      <c r="C50" s="62"/>
      <c r="D50" s="62"/>
      <c r="E50" s="62"/>
      <c r="F50" s="62"/>
      <c r="G50" s="62"/>
      <c r="H50" s="62"/>
      <c r="I50" s="62"/>
      <c r="J50" s="15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</row>
    <row r="51" spans="1:29">
      <c r="A51" s="62"/>
      <c r="B51" s="62"/>
      <c r="C51" s="62"/>
      <c r="D51" s="62"/>
      <c r="E51" s="62"/>
      <c r="F51" s="62"/>
      <c r="G51" s="62"/>
      <c r="H51" s="11"/>
      <c r="I51" s="11"/>
      <c r="J51" s="1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</row>
    <row r="52" spans="1:29">
      <c r="A52" s="62"/>
      <c r="B52" s="62"/>
      <c r="C52" s="62"/>
      <c r="D52" s="62"/>
      <c r="E52" s="62"/>
      <c r="F52" s="11"/>
      <c r="G52" s="11"/>
      <c r="H52" s="11"/>
      <c r="I52" s="11"/>
      <c r="J52" s="15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>
      <c r="A53" s="11"/>
      <c r="B53" s="11"/>
      <c r="C53" s="11"/>
      <c r="D53" s="11"/>
      <c r="E53" s="11"/>
      <c r="F53" s="11"/>
      <c r="G53" s="11"/>
      <c r="H53" s="11"/>
      <c r="I53" s="11"/>
      <c r="J53" s="15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>
      <c r="A54" s="11"/>
      <c r="B54" s="11"/>
      <c r="C54" s="11"/>
      <c r="D54" s="11"/>
      <c r="E54" s="11"/>
      <c r="F54" s="11"/>
      <c r="G54" s="11"/>
      <c r="H54" s="11"/>
      <c r="I54" s="11"/>
      <c r="J54" s="12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>
      <c r="A55" s="11"/>
      <c r="B55" s="11"/>
      <c r="C55" s="11"/>
      <c r="D55" s="11"/>
      <c r="E55" s="11"/>
      <c r="F55" s="11"/>
      <c r="G55" s="11"/>
      <c r="H55" s="11"/>
      <c r="I55" s="11"/>
      <c r="J55" s="15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>
      <c r="A56" s="11"/>
      <c r="B56" s="11"/>
      <c r="C56" s="11"/>
      <c r="D56" s="11"/>
      <c r="E56" s="11"/>
      <c r="F56" s="11"/>
      <c r="G56" s="11"/>
      <c r="H56" s="103"/>
      <c r="I56" s="103"/>
      <c r="J56" s="15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>
      <c r="A57" s="29"/>
      <c r="B57" s="104"/>
      <c r="C57" s="105"/>
      <c r="D57" s="106"/>
      <c r="E57" s="107"/>
      <c r="F57" s="107"/>
      <c r="G57" s="103"/>
      <c r="H57" s="11"/>
      <c r="I57" s="11"/>
      <c r="J57" s="12"/>
      <c r="K57" s="29"/>
      <c r="L57" s="29"/>
      <c r="M57" s="29"/>
      <c r="N57" s="29"/>
      <c r="O57" s="29"/>
      <c r="P57" s="29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>
      <c r="A58" s="11"/>
      <c r="B58" s="11"/>
      <c r="C58" s="11"/>
      <c r="D58" s="11"/>
      <c r="E58" s="11"/>
      <c r="F58" s="11"/>
      <c r="G58" s="11"/>
      <c r="H58" s="11"/>
      <c r="I58" s="11"/>
      <c r="J58" s="15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>
      <c r="A59" s="11"/>
      <c r="B59" s="11"/>
      <c r="C59" s="11"/>
      <c r="D59" s="11"/>
      <c r="E59" s="11"/>
      <c r="F59" s="11"/>
      <c r="G59" s="11"/>
      <c r="H59" s="11"/>
      <c r="I59" s="11"/>
      <c r="J59" s="15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>
      <c r="A60" s="11"/>
      <c r="B60" s="11"/>
      <c r="C60" s="11"/>
      <c r="D60" s="11"/>
      <c r="E60" s="11"/>
      <c r="F60" s="11"/>
      <c r="G60" s="11"/>
      <c r="H60" s="11"/>
      <c r="I60" s="11"/>
      <c r="J60" s="12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>
      <c r="A61" s="11"/>
      <c r="B61" s="11"/>
      <c r="C61" s="11"/>
      <c r="D61" s="11"/>
      <c r="E61" s="11"/>
      <c r="F61" s="11"/>
      <c r="G61" s="11"/>
      <c r="H61" s="11"/>
      <c r="I61" s="11"/>
      <c r="J61" s="15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>
      <c r="A62" s="11"/>
      <c r="B62" s="11"/>
      <c r="C62" s="11"/>
      <c r="D62" s="11"/>
      <c r="E62" s="11"/>
      <c r="F62" s="11"/>
      <c r="G62" s="11"/>
      <c r="H62" s="11"/>
      <c r="I62" s="11"/>
      <c r="J62" s="15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>
      <c r="A63" s="11"/>
      <c r="B63" s="11"/>
      <c r="C63" s="11"/>
      <c r="D63" s="11"/>
      <c r="E63" s="11"/>
      <c r="F63" s="11"/>
      <c r="G63" s="11"/>
      <c r="H63" s="11"/>
      <c r="I63" s="11"/>
      <c r="J63" s="12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>
      <c r="A64" s="11"/>
      <c r="B64" s="11"/>
      <c r="C64" s="11"/>
      <c r="D64" s="11"/>
      <c r="E64" s="11"/>
      <c r="F64" s="11"/>
      <c r="G64" s="11"/>
      <c r="H64" s="11"/>
      <c r="I64" s="11"/>
      <c r="J64" s="15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>
      <c r="A65" s="11"/>
      <c r="B65" s="11"/>
      <c r="C65" s="11"/>
      <c r="D65" s="11"/>
      <c r="E65" s="11"/>
      <c r="F65" s="11"/>
      <c r="G65" s="11"/>
      <c r="H65" s="11"/>
      <c r="I65" s="11"/>
      <c r="J65" s="15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>
      <c r="A66" s="11"/>
      <c r="B66" s="11"/>
      <c r="C66" s="11"/>
      <c r="D66" s="11"/>
      <c r="E66" s="11"/>
      <c r="F66" s="11"/>
      <c r="G66" s="11"/>
      <c r="H66" s="11"/>
      <c r="I66" s="11"/>
      <c r="J66" s="12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>
      <c r="A67" s="11"/>
      <c r="B67" s="11"/>
      <c r="C67" s="11"/>
      <c r="D67" s="11"/>
      <c r="E67" s="11"/>
      <c r="F67" s="11"/>
      <c r="G67" s="11"/>
      <c r="H67" s="11"/>
      <c r="I67" s="11"/>
      <c r="J67" s="15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>
      <c r="A68" s="11"/>
      <c r="B68" s="11"/>
      <c r="C68" s="11"/>
      <c r="D68" s="11"/>
      <c r="E68" s="11"/>
      <c r="F68" s="11"/>
      <c r="G68" s="11"/>
      <c r="H68" s="11"/>
      <c r="I68" s="11"/>
      <c r="J68" s="15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>
      <c r="A69" s="11"/>
      <c r="B69" s="11"/>
      <c r="C69" s="11"/>
      <c r="D69" s="11"/>
      <c r="E69" s="11"/>
      <c r="F69" s="11"/>
      <c r="G69" s="11"/>
      <c r="H69" s="11"/>
      <c r="I69" s="11"/>
      <c r="J69" s="12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>
      <c r="A70" s="11"/>
      <c r="B70" s="11"/>
      <c r="C70" s="11"/>
      <c r="D70" s="11"/>
      <c r="E70" s="11"/>
      <c r="F70" s="11"/>
      <c r="G70" s="11"/>
      <c r="H70" s="11"/>
      <c r="I70" s="11"/>
      <c r="J70" s="15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>
      <c r="A71" s="11"/>
      <c r="B71" s="11"/>
      <c r="C71" s="11"/>
      <c r="D71" s="11"/>
      <c r="E71" s="11"/>
      <c r="F71" s="11"/>
      <c r="G71" s="11"/>
      <c r="H71" s="11"/>
      <c r="I71" s="11"/>
      <c r="J71" s="15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29">
      <c r="A72" s="11"/>
      <c r="B72" s="11"/>
      <c r="C72" s="11"/>
      <c r="D72" s="11"/>
      <c r="E72" s="11"/>
      <c r="F72" s="11"/>
      <c r="G72" s="11"/>
      <c r="H72" s="11"/>
      <c r="I72" s="11"/>
      <c r="J72" s="12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29">
      <c r="A73" s="11"/>
      <c r="B73" s="11"/>
      <c r="C73" s="11"/>
      <c r="D73" s="11"/>
      <c r="E73" s="11"/>
      <c r="F73" s="11"/>
      <c r="G73" s="11"/>
      <c r="H73" s="11"/>
      <c r="I73" s="11"/>
      <c r="J73" s="15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29">
      <c r="A74" s="11"/>
      <c r="B74" s="11"/>
      <c r="C74" s="11"/>
      <c r="D74" s="11"/>
      <c r="E74" s="11"/>
      <c r="F74" s="11"/>
      <c r="G74" s="11"/>
      <c r="H74" s="11"/>
      <c r="I74" s="11"/>
      <c r="J74" s="15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1:29">
      <c r="A75" s="11"/>
      <c r="B75" s="11"/>
      <c r="C75" s="11"/>
      <c r="D75" s="11"/>
      <c r="E75" s="11"/>
      <c r="F75" s="11"/>
      <c r="G75" s="11"/>
      <c r="H75" s="11"/>
      <c r="I75" s="11"/>
      <c r="J75" s="12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29">
      <c r="A76" s="11"/>
      <c r="B76" s="11"/>
      <c r="C76" s="11"/>
      <c r="D76" s="11"/>
      <c r="E76" s="11"/>
      <c r="F76" s="11"/>
      <c r="G76" s="11"/>
      <c r="H76" s="11"/>
      <c r="I76" s="11"/>
      <c r="J76" s="15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29">
      <c r="A77" s="11"/>
      <c r="B77" s="11"/>
      <c r="C77" s="11"/>
      <c r="D77" s="11"/>
      <c r="E77" s="11"/>
      <c r="F77" s="11"/>
      <c r="G77" s="11"/>
      <c r="H77" s="11"/>
      <c r="I77" s="11"/>
      <c r="J77" s="15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29">
      <c r="A78" s="11"/>
      <c r="B78" s="11"/>
      <c r="C78" s="11"/>
      <c r="D78" s="11"/>
      <c r="E78" s="11"/>
      <c r="F78" s="11"/>
      <c r="G78" s="11"/>
      <c r="H78" s="11"/>
      <c r="I78" s="11"/>
      <c r="J78" s="12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29">
      <c r="A79" s="11"/>
      <c r="B79" s="11"/>
      <c r="C79" s="11"/>
      <c r="D79" s="11"/>
      <c r="E79" s="11"/>
      <c r="F79" s="11"/>
      <c r="G79" s="11"/>
      <c r="H79" s="11"/>
      <c r="I79" s="11"/>
      <c r="J79" s="15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29">
      <c r="A80" s="11"/>
      <c r="B80" s="11"/>
      <c r="C80" s="11"/>
      <c r="D80" s="11"/>
      <c r="E80" s="11"/>
      <c r="F80" s="11"/>
      <c r="G80" s="11"/>
      <c r="H80" s="11"/>
      <c r="I80" s="11"/>
      <c r="J80" s="15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1:29">
      <c r="A81" s="11"/>
      <c r="B81" s="11"/>
      <c r="C81" s="11"/>
      <c r="D81" s="11"/>
      <c r="E81" s="11"/>
      <c r="F81" s="11"/>
      <c r="G81" s="11"/>
      <c r="H81" s="11"/>
      <c r="I81" s="11"/>
      <c r="J81" s="12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1:29">
      <c r="A82" s="11"/>
      <c r="B82" s="11"/>
      <c r="C82" s="11"/>
      <c r="D82" s="11"/>
      <c r="E82" s="11"/>
      <c r="F82" s="11"/>
      <c r="G82" s="11"/>
      <c r="H82" s="11"/>
      <c r="I82" s="11"/>
      <c r="J82" s="15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pans="1:29">
      <c r="A83" s="11"/>
      <c r="B83" s="11"/>
      <c r="C83" s="11"/>
      <c r="D83" s="11"/>
      <c r="E83" s="11"/>
      <c r="F83" s="11"/>
      <c r="G83" s="11"/>
      <c r="H83" s="11"/>
      <c r="I83" s="11"/>
      <c r="J83" s="15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spans="1:29">
      <c r="A84" s="11"/>
      <c r="B84" s="11"/>
      <c r="C84" s="11"/>
      <c r="D84" s="11"/>
      <c r="E84" s="11"/>
      <c r="F84" s="11"/>
      <c r="G84" s="11"/>
      <c r="H84" s="11"/>
      <c r="I84" s="11"/>
      <c r="J84" s="12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spans="1:29">
      <c r="A85" s="11"/>
      <c r="B85" s="11"/>
      <c r="C85" s="11"/>
      <c r="D85" s="11"/>
      <c r="E85" s="11"/>
      <c r="F85" s="11"/>
      <c r="G85" s="11"/>
      <c r="H85" s="11"/>
      <c r="I85" s="11"/>
      <c r="J85" s="15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pans="1:29">
      <c r="A86" s="11"/>
      <c r="B86" s="11"/>
      <c r="C86" s="11"/>
      <c r="D86" s="11"/>
      <c r="E86" s="11"/>
      <c r="F86" s="11"/>
      <c r="G86" s="11"/>
      <c r="H86" s="11"/>
      <c r="I86" s="11"/>
      <c r="J86" s="15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29">
      <c r="A87" s="11"/>
      <c r="B87" s="11"/>
      <c r="C87" s="11"/>
      <c r="D87" s="11"/>
      <c r="E87" s="11"/>
      <c r="F87" s="11"/>
      <c r="G87" s="11"/>
      <c r="H87" s="11"/>
      <c r="I87" s="11"/>
      <c r="J87" s="12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29">
      <c r="A88" s="11"/>
      <c r="B88" s="11"/>
      <c r="C88" s="11"/>
      <c r="D88" s="11"/>
      <c r="E88" s="11"/>
      <c r="F88" s="11"/>
      <c r="G88" s="11"/>
      <c r="H88" s="11"/>
      <c r="I88" s="11"/>
      <c r="J88" s="15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pans="1:29">
      <c r="A89" s="11"/>
      <c r="B89" s="11"/>
      <c r="C89" s="11"/>
      <c r="D89" s="11"/>
      <c r="E89" s="11"/>
      <c r="F89" s="11"/>
      <c r="G89" s="11"/>
      <c r="H89" s="11"/>
      <c r="I89" s="11"/>
      <c r="J89" s="15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>
      <c r="A90" s="11"/>
      <c r="B90" s="11"/>
      <c r="C90" s="11"/>
      <c r="D90" s="11"/>
      <c r="E90" s="11"/>
      <c r="F90" s="11"/>
      <c r="G90" s="11"/>
      <c r="H90" s="11"/>
      <c r="I90" s="11"/>
      <c r="J90" s="12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>
      <c r="A91" s="11"/>
      <c r="B91" s="11"/>
      <c r="C91" s="11"/>
      <c r="D91" s="11"/>
      <c r="E91" s="11"/>
      <c r="F91" s="11"/>
      <c r="G91" s="11"/>
      <c r="H91" s="11"/>
      <c r="I91" s="11"/>
      <c r="J91" s="15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29">
      <c r="A92" s="11"/>
      <c r="B92" s="11"/>
      <c r="C92" s="11"/>
      <c r="D92" s="11"/>
      <c r="E92" s="11"/>
      <c r="F92" s="11"/>
      <c r="G92" s="11"/>
      <c r="H92" s="11"/>
      <c r="I92" s="11"/>
      <c r="J92" s="15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>
      <c r="A93" s="11"/>
      <c r="B93" s="11"/>
      <c r="C93" s="11"/>
      <c r="D93" s="11"/>
      <c r="E93" s="11"/>
      <c r="F93" s="11"/>
      <c r="G93" s="11"/>
      <c r="H93" s="11"/>
      <c r="I93" s="11"/>
      <c r="J93" s="12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>
      <c r="A94" s="11"/>
      <c r="B94" s="11"/>
      <c r="C94" s="11"/>
      <c r="D94" s="11"/>
      <c r="E94" s="11"/>
      <c r="F94" s="11"/>
      <c r="G94" s="11"/>
      <c r="H94" s="11"/>
      <c r="I94" s="11"/>
      <c r="J94" s="15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>
      <c r="A95" s="11"/>
      <c r="B95" s="11"/>
      <c r="C95" s="11"/>
      <c r="D95" s="11"/>
      <c r="E95" s="11"/>
      <c r="F95" s="11"/>
      <c r="G95" s="11"/>
      <c r="H95" s="11"/>
      <c r="I95" s="11"/>
      <c r="J95" s="15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29">
      <c r="A96" s="11"/>
      <c r="B96" s="11"/>
      <c r="C96" s="11"/>
      <c r="D96" s="11"/>
      <c r="E96" s="11"/>
      <c r="F96" s="11"/>
      <c r="G96" s="11"/>
      <c r="H96" s="11"/>
      <c r="I96" s="11"/>
      <c r="J96" s="12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>
      <c r="A97" s="11"/>
      <c r="B97" s="11"/>
      <c r="C97" s="11"/>
      <c r="D97" s="11"/>
      <c r="E97" s="11"/>
      <c r="F97" s="11"/>
      <c r="G97" s="11"/>
      <c r="H97" s="11"/>
      <c r="I97" s="11"/>
      <c r="J97" s="15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pans="1:29">
      <c r="A98" s="11"/>
      <c r="B98" s="11"/>
      <c r="C98" s="11"/>
      <c r="D98" s="11"/>
      <c r="E98" s="11"/>
      <c r="F98" s="11"/>
      <c r="G98" s="11"/>
      <c r="H98" s="11"/>
      <c r="I98" s="11"/>
      <c r="J98" s="15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>
      <c r="A99" s="11"/>
      <c r="B99" s="11"/>
      <c r="C99" s="11"/>
      <c r="D99" s="11"/>
      <c r="E99" s="11"/>
      <c r="F99" s="11"/>
      <c r="G99" s="11"/>
      <c r="H99" s="11"/>
      <c r="I99" s="11"/>
      <c r="J99" s="12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>
      <c r="A100" s="11"/>
      <c r="B100" s="11"/>
      <c r="C100" s="11"/>
      <c r="D100" s="11"/>
      <c r="E100" s="11"/>
      <c r="F100" s="11"/>
      <c r="G100" s="11"/>
      <c r="H100" s="11"/>
      <c r="I100" s="11"/>
      <c r="J100" s="15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>
      <c r="A101" s="11"/>
      <c r="B101" s="11"/>
      <c r="C101" s="11"/>
      <c r="D101" s="11"/>
      <c r="E101" s="11"/>
      <c r="F101" s="11"/>
      <c r="G101" s="11"/>
      <c r="H101" s="11"/>
      <c r="I101" s="11"/>
      <c r="J101" s="15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>
      <c r="A102" s="11"/>
      <c r="B102" s="11"/>
      <c r="C102" s="11"/>
      <c r="D102" s="11"/>
      <c r="E102" s="11"/>
      <c r="F102" s="11"/>
      <c r="G102" s="11"/>
      <c r="H102" s="11"/>
      <c r="I102" s="11"/>
      <c r="J102" s="12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>
      <c r="A103" s="11"/>
      <c r="B103" s="11"/>
      <c r="C103" s="11"/>
      <c r="D103" s="11"/>
      <c r="E103" s="11"/>
      <c r="F103" s="11"/>
      <c r="G103" s="11"/>
      <c r="H103" s="11"/>
      <c r="I103" s="11"/>
      <c r="J103" s="15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29">
      <c r="A104" s="11"/>
      <c r="B104" s="11"/>
      <c r="C104" s="11"/>
      <c r="D104" s="11"/>
      <c r="E104" s="11"/>
      <c r="F104" s="11"/>
      <c r="G104" s="11"/>
      <c r="H104" s="11"/>
      <c r="I104" s="11"/>
      <c r="J104" s="15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>
      <c r="A105" s="11"/>
      <c r="B105" s="11"/>
      <c r="C105" s="11"/>
      <c r="D105" s="11"/>
      <c r="E105" s="11"/>
      <c r="F105" s="11"/>
      <c r="G105" s="11"/>
      <c r="H105" s="11"/>
      <c r="I105" s="11"/>
      <c r="J105" s="12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pans="1:29">
      <c r="A106" s="11"/>
      <c r="B106" s="11"/>
      <c r="C106" s="11"/>
      <c r="D106" s="11"/>
      <c r="E106" s="11"/>
      <c r="F106" s="11"/>
      <c r="G106" s="11"/>
      <c r="H106" s="11"/>
      <c r="I106" s="11"/>
      <c r="J106" s="15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pans="1:29">
      <c r="A107" s="11"/>
      <c r="B107" s="11"/>
      <c r="C107" s="11"/>
      <c r="D107" s="11"/>
      <c r="E107" s="11"/>
      <c r="F107" s="11"/>
      <c r="G107" s="11"/>
      <c r="H107" s="11"/>
      <c r="I107" s="11"/>
      <c r="J107" s="15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pans="1:29">
      <c r="A108" s="11"/>
      <c r="B108" s="11"/>
      <c r="C108" s="11"/>
      <c r="D108" s="11"/>
      <c r="E108" s="11"/>
      <c r="F108" s="11"/>
      <c r="G108" s="11"/>
      <c r="H108" s="11"/>
      <c r="I108" s="11"/>
      <c r="J108" s="12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29">
      <c r="A109" s="11"/>
      <c r="B109" s="11"/>
      <c r="C109" s="11"/>
      <c r="D109" s="11"/>
      <c r="E109" s="11"/>
      <c r="F109" s="11"/>
      <c r="G109" s="11"/>
      <c r="H109" s="11"/>
      <c r="I109" s="11"/>
      <c r="J109" s="15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pans="1:29">
      <c r="A110" s="11"/>
      <c r="B110" s="11"/>
      <c r="C110" s="11"/>
      <c r="D110" s="11"/>
      <c r="E110" s="11"/>
      <c r="F110" s="11"/>
      <c r="G110" s="11"/>
      <c r="H110" s="11"/>
      <c r="I110" s="11"/>
      <c r="J110" s="15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29">
      <c r="A111" s="11"/>
      <c r="B111" s="11"/>
      <c r="C111" s="11"/>
      <c r="D111" s="11"/>
      <c r="E111" s="11"/>
      <c r="F111" s="11"/>
      <c r="G111" s="11"/>
      <c r="H111" s="11"/>
      <c r="I111" s="11"/>
      <c r="J111" s="12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pans="1:29">
      <c r="A112" s="11"/>
      <c r="B112" s="11"/>
      <c r="C112" s="11"/>
      <c r="D112" s="11"/>
      <c r="E112" s="11"/>
      <c r="F112" s="11"/>
      <c r="G112" s="11"/>
      <c r="H112" s="11"/>
      <c r="I112" s="11"/>
      <c r="J112" s="15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pans="1:29">
      <c r="A113" s="11"/>
      <c r="B113" s="11"/>
      <c r="C113" s="11"/>
      <c r="D113" s="11"/>
      <c r="E113" s="11"/>
      <c r="F113" s="11"/>
      <c r="G113" s="11"/>
      <c r="H113" s="11"/>
      <c r="I113" s="11"/>
      <c r="J113" s="15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29">
      <c r="A114" s="11"/>
      <c r="B114" s="11"/>
      <c r="C114" s="11"/>
      <c r="D114" s="11"/>
      <c r="E114" s="11"/>
      <c r="F114" s="11"/>
      <c r="G114" s="11"/>
      <c r="H114" s="11"/>
      <c r="I114" s="11"/>
      <c r="J114" s="12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pans="1:29">
      <c r="A115" s="11"/>
      <c r="B115" s="11"/>
      <c r="C115" s="11"/>
      <c r="D115" s="11"/>
      <c r="E115" s="11"/>
      <c r="F115" s="11"/>
      <c r="G115" s="11"/>
      <c r="H115" s="11"/>
      <c r="I115" s="11"/>
      <c r="J115" s="15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>
      <c r="A116" s="11"/>
      <c r="B116" s="11"/>
      <c r="C116" s="11"/>
      <c r="D116" s="11"/>
      <c r="E116" s="11"/>
      <c r="F116" s="11"/>
      <c r="G116" s="11"/>
      <c r="H116" s="11"/>
      <c r="I116" s="11"/>
      <c r="J116" s="15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>
      <c r="A117" s="11"/>
      <c r="B117" s="11"/>
      <c r="C117" s="11"/>
      <c r="D117" s="11"/>
      <c r="E117" s="11"/>
      <c r="F117" s="11"/>
      <c r="G117" s="11"/>
      <c r="H117" s="11"/>
      <c r="I117" s="11"/>
      <c r="J117" s="12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pans="1:29">
      <c r="A118" s="11"/>
      <c r="B118" s="11"/>
      <c r="C118" s="11"/>
      <c r="D118" s="11"/>
      <c r="E118" s="11"/>
      <c r="F118" s="11"/>
      <c r="G118" s="11"/>
      <c r="H118" s="11"/>
      <c r="I118" s="11"/>
      <c r="J118" s="15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pans="1:29">
      <c r="A119" s="11"/>
      <c r="B119" s="11"/>
      <c r="C119" s="11"/>
      <c r="D119" s="11"/>
      <c r="E119" s="11"/>
      <c r="F119" s="11"/>
      <c r="G119" s="11"/>
      <c r="H119" s="11"/>
      <c r="I119" s="11"/>
      <c r="J119" s="15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pans="1:29">
      <c r="A120" s="11"/>
      <c r="B120" s="11"/>
      <c r="C120" s="11"/>
      <c r="D120" s="11"/>
      <c r="E120" s="11"/>
      <c r="F120" s="11"/>
      <c r="G120" s="11"/>
      <c r="H120" s="11"/>
      <c r="I120" s="11"/>
      <c r="J120" s="12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29">
      <c r="A121" s="11"/>
      <c r="B121" s="11"/>
      <c r="C121" s="11"/>
      <c r="D121" s="11"/>
      <c r="E121" s="11"/>
      <c r="F121" s="11"/>
      <c r="G121" s="11"/>
      <c r="H121" s="11"/>
      <c r="I121" s="11"/>
      <c r="J121" s="15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29">
      <c r="A122" s="11"/>
      <c r="B122" s="11"/>
      <c r="C122" s="11"/>
      <c r="D122" s="11"/>
      <c r="E122" s="11"/>
      <c r="F122" s="11"/>
      <c r="G122" s="11"/>
      <c r="H122" s="11"/>
      <c r="I122" s="11"/>
      <c r="J122" s="15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pans="1:29">
      <c r="A123" s="11"/>
      <c r="B123" s="11"/>
      <c r="C123" s="11"/>
      <c r="D123" s="11"/>
      <c r="E123" s="11"/>
      <c r="F123" s="11"/>
      <c r="G123" s="11"/>
      <c r="H123" s="11"/>
      <c r="I123" s="11"/>
      <c r="J123" s="12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>
      <c r="A124" s="11"/>
      <c r="B124" s="11"/>
      <c r="C124" s="11"/>
      <c r="D124" s="11"/>
      <c r="E124" s="11"/>
      <c r="F124" s="11"/>
      <c r="G124" s="11"/>
      <c r="H124" s="11"/>
      <c r="I124" s="11"/>
      <c r="J124" s="15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>
      <c r="A125" s="11"/>
      <c r="B125" s="11"/>
      <c r="C125" s="11"/>
      <c r="D125" s="11"/>
      <c r="E125" s="11"/>
      <c r="F125" s="11"/>
      <c r="G125" s="11"/>
      <c r="H125" s="11"/>
      <c r="I125" s="11"/>
      <c r="J125" s="15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pans="1:29">
      <c r="A126" s="11"/>
      <c r="B126" s="11"/>
      <c r="C126" s="11"/>
      <c r="D126" s="11"/>
      <c r="E126" s="11"/>
      <c r="F126" s="11"/>
      <c r="G126" s="11"/>
      <c r="H126" s="11"/>
      <c r="I126" s="11"/>
      <c r="J126" s="12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spans="1:29">
      <c r="A127" s="11"/>
      <c r="B127" s="11"/>
      <c r="C127" s="11"/>
      <c r="D127" s="11"/>
      <c r="E127" s="11"/>
      <c r="F127" s="11"/>
      <c r="G127" s="11"/>
      <c r="H127" s="11"/>
      <c r="I127" s="11"/>
      <c r="J127" s="15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pans="1:29">
      <c r="A128" s="11"/>
      <c r="B128" s="11"/>
      <c r="C128" s="11"/>
      <c r="D128" s="11"/>
      <c r="E128" s="11"/>
      <c r="F128" s="11"/>
      <c r="G128" s="11"/>
      <c r="H128" s="11"/>
      <c r="I128" s="11"/>
      <c r="J128" s="15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pans="1:29">
      <c r="A129" s="11"/>
      <c r="B129" s="11"/>
      <c r="C129" s="11"/>
      <c r="D129" s="11"/>
      <c r="E129" s="11"/>
      <c r="F129" s="11"/>
      <c r="G129" s="11"/>
      <c r="H129" s="11"/>
      <c r="I129" s="11"/>
      <c r="J129" s="12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pans="1:29">
      <c r="A130" s="11"/>
      <c r="B130" s="11"/>
      <c r="C130" s="11"/>
      <c r="D130" s="11"/>
      <c r="E130" s="11"/>
      <c r="F130" s="11"/>
      <c r="G130" s="11"/>
      <c r="H130" s="11"/>
      <c r="I130" s="11"/>
      <c r="J130" s="15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pans="1:29">
      <c r="A131" s="11"/>
      <c r="B131" s="11"/>
      <c r="C131" s="11"/>
      <c r="D131" s="11"/>
      <c r="E131" s="11"/>
      <c r="F131" s="11"/>
      <c r="G131" s="11"/>
      <c r="H131" s="11"/>
      <c r="I131" s="11"/>
      <c r="J131" s="15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pans="1:29">
      <c r="A132" s="11"/>
      <c r="B132" s="11"/>
      <c r="C132" s="11"/>
      <c r="D132" s="11"/>
      <c r="E132" s="11"/>
      <c r="F132" s="11"/>
      <c r="G132" s="11"/>
      <c r="H132" s="11"/>
      <c r="I132" s="11"/>
      <c r="J132" s="12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pans="1:29">
      <c r="A133" s="11"/>
      <c r="B133" s="11"/>
      <c r="C133" s="11"/>
      <c r="D133" s="11"/>
      <c r="E133" s="11"/>
      <c r="F133" s="11"/>
      <c r="G133" s="11"/>
      <c r="H133" s="11"/>
      <c r="I133" s="11"/>
      <c r="J133" s="15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pans="1:29">
      <c r="A134" s="11"/>
      <c r="B134" s="11"/>
      <c r="C134" s="11"/>
      <c r="D134" s="11"/>
      <c r="E134" s="11"/>
      <c r="F134" s="11"/>
      <c r="G134" s="11"/>
      <c r="H134" s="11"/>
      <c r="I134" s="11"/>
      <c r="J134" s="15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pans="1:29">
      <c r="A135" s="11"/>
      <c r="B135" s="11"/>
      <c r="C135" s="11"/>
      <c r="D135" s="11"/>
      <c r="E135" s="11"/>
      <c r="F135" s="11"/>
      <c r="G135" s="11"/>
      <c r="H135" s="11"/>
      <c r="I135" s="11"/>
      <c r="J135" s="12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pans="1:29">
      <c r="A136" s="11"/>
      <c r="B136" s="11"/>
      <c r="C136" s="11"/>
      <c r="D136" s="11"/>
      <c r="E136" s="11"/>
      <c r="F136" s="11"/>
      <c r="G136" s="11"/>
      <c r="H136" s="11"/>
      <c r="I136" s="11"/>
      <c r="J136" s="15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pans="1:29">
      <c r="A137" s="11"/>
      <c r="B137" s="11"/>
      <c r="C137" s="11"/>
      <c r="D137" s="11"/>
      <c r="E137" s="11"/>
      <c r="F137" s="11"/>
      <c r="G137" s="11"/>
      <c r="H137" s="11"/>
      <c r="I137" s="11"/>
      <c r="J137" s="15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pans="1:29">
      <c r="A138" s="11"/>
      <c r="B138" s="11"/>
      <c r="C138" s="11"/>
      <c r="D138" s="11"/>
      <c r="E138" s="11"/>
      <c r="F138" s="11"/>
      <c r="G138" s="11"/>
      <c r="H138" s="11"/>
      <c r="I138" s="11"/>
      <c r="J138" s="12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pans="1:29">
      <c r="A139" s="11"/>
      <c r="B139" s="11"/>
      <c r="C139" s="11"/>
      <c r="D139" s="11"/>
      <c r="E139" s="11"/>
      <c r="F139" s="11"/>
      <c r="G139" s="11"/>
      <c r="H139" s="11"/>
      <c r="I139" s="11"/>
      <c r="J139" s="15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pans="1:29">
      <c r="A140" s="11"/>
      <c r="B140" s="11"/>
      <c r="C140" s="11"/>
      <c r="D140" s="11"/>
      <c r="E140" s="11"/>
      <c r="F140" s="11"/>
      <c r="G140" s="11"/>
      <c r="H140" s="11"/>
      <c r="I140" s="11"/>
      <c r="J140" s="15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pans="1:29">
      <c r="A141" s="11"/>
      <c r="B141" s="11"/>
      <c r="C141" s="11"/>
      <c r="D141" s="11"/>
      <c r="E141" s="11"/>
      <c r="F141" s="11"/>
      <c r="G141" s="11"/>
      <c r="H141" s="11"/>
      <c r="I141" s="11"/>
      <c r="J141" s="12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pans="1:29">
      <c r="A142" s="11"/>
      <c r="B142" s="11"/>
      <c r="C142" s="11"/>
      <c r="D142" s="11"/>
      <c r="E142" s="11"/>
      <c r="F142" s="11"/>
      <c r="G142" s="11"/>
      <c r="H142" s="11"/>
      <c r="I142" s="11"/>
      <c r="J142" s="15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pans="1:29">
      <c r="A143" s="11"/>
      <c r="B143" s="11"/>
      <c r="C143" s="11"/>
      <c r="D143" s="11"/>
      <c r="E143" s="11"/>
      <c r="F143" s="11"/>
      <c r="G143" s="11"/>
      <c r="H143" s="11"/>
      <c r="I143" s="11"/>
      <c r="J143" s="15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pans="1:29">
      <c r="A144" s="11"/>
      <c r="B144" s="11"/>
      <c r="C144" s="11"/>
      <c r="D144" s="11"/>
      <c r="E144" s="11"/>
      <c r="F144" s="11"/>
      <c r="G144" s="11"/>
      <c r="H144" s="11"/>
      <c r="I144" s="11"/>
      <c r="J144" s="12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pans="1:29">
      <c r="A145" s="11"/>
      <c r="B145" s="11"/>
      <c r="C145" s="11"/>
      <c r="D145" s="11"/>
      <c r="E145" s="11"/>
      <c r="F145" s="11"/>
      <c r="G145" s="11"/>
      <c r="H145" s="11"/>
      <c r="I145" s="11"/>
      <c r="J145" s="15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pans="1:29">
      <c r="A146" s="11"/>
      <c r="B146" s="11"/>
      <c r="C146" s="11"/>
      <c r="D146" s="11"/>
      <c r="E146" s="11"/>
      <c r="F146" s="11"/>
      <c r="G146" s="11"/>
      <c r="H146" s="11"/>
      <c r="I146" s="11"/>
      <c r="J146" s="15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pans="1:29">
      <c r="A147" s="11"/>
      <c r="B147" s="11"/>
      <c r="C147" s="11"/>
      <c r="D147" s="11"/>
      <c r="E147" s="11"/>
      <c r="F147" s="11"/>
      <c r="G147" s="11"/>
      <c r="H147" s="11"/>
      <c r="I147" s="11"/>
      <c r="J147" s="12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pans="1:29">
      <c r="A148" s="11"/>
      <c r="B148" s="11"/>
      <c r="C148" s="11"/>
      <c r="D148" s="11"/>
      <c r="E148" s="11"/>
      <c r="F148" s="11"/>
      <c r="G148" s="11"/>
      <c r="H148" s="11"/>
      <c r="I148" s="11"/>
      <c r="J148" s="15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pans="1:29">
      <c r="A149" s="11"/>
      <c r="B149" s="11"/>
      <c r="C149" s="11"/>
      <c r="D149" s="11"/>
      <c r="E149" s="11"/>
      <c r="F149" s="11"/>
      <c r="G149" s="11"/>
      <c r="H149" s="11"/>
      <c r="I149" s="11"/>
      <c r="J149" s="15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pans="1:29">
      <c r="A150" s="11"/>
      <c r="B150" s="11"/>
      <c r="C150" s="11"/>
      <c r="D150" s="11"/>
      <c r="E150" s="11"/>
      <c r="F150" s="11"/>
      <c r="G150" s="11"/>
      <c r="H150" s="11"/>
      <c r="I150" s="11"/>
      <c r="J150" s="12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pans="1:29">
      <c r="A151" s="11"/>
      <c r="B151" s="11"/>
      <c r="C151" s="11"/>
      <c r="D151" s="11"/>
      <c r="E151" s="11"/>
      <c r="F151" s="11"/>
      <c r="G151" s="11"/>
      <c r="H151" s="11"/>
      <c r="I151" s="11"/>
      <c r="J151" s="15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pans="1:29">
      <c r="A152" s="11"/>
      <c r="B152" s="11"/>
      <c r="C152" s="11"/>
      <c r="D152" s="11"/>
      <c r="E152" s="11"/>
      <c r="F152" s="11"/>
      <c r="G152" s="11"/>
      <c r="H152" s="11"/>
      <c r="I152" s="11"/>
      <c r="J152" s="15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pans="1:29">
      <c r="A153" s="11"/>
      <c r="B153" s="11"/>
      <c r="C153" s="11"/>
      <c r="D153" s="11"/>
      <c r="E153" s="11"/>
      <c r="F153" s="11"/>
      <c r="G153" s="11"/>
      <c r="H153" s="11"/>
      <c r="I153" s="11"/>
      <c r="J153" s="12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pans="1:29">
      <c r="A154" s="11"/>
      <c r="B154" s="11"/>
      <c r="C154" s="11"/>
      <c r="D154" s="11"/>
      <c r="E154" s="11"/>
      <c r="F154" s="11"/>
      <c r="G154" s="11"/>
      <c r="H154" s="11"/>
      <c r="I154" s="11"/>
      <c r="J154" s="15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pans="1:29">
      <c r="A155" s="11"/>
      <c r="B155" s="11"/>
      <c r="C155" s="11"/>
      <c r="D155" s="11"/>
      <c r="E155" s="11"/>
      <c r="F155" s="11"/>
      <c r="G155" s="11"/>
      <c r="H155" s="11"/>
      <c r="I155" s="11"/>
      <c r="J155" s="15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pans="1:29">
      <c r="A156" s="11"/>
      <c r="B156" s="11"/>
      <c r="C156" s="11"/>
      <c r="D156" s="11"/>
      <c r="E156" s="11"/>
      <c r="F156" s="11"/>
      <c r="G156" s="11"/>
      <c r="H156" s="11"/>
      <c r="I156" s="11"/>
      <c r="J156" s="12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pans="1:29">
      <c r="A157" s="11"/>
      <c r="B157" s="11"/>
      <c r="C157" s="11"/>
      <c r="D157" s="11"/>
      <c r="E157" s="11"/>
      <c r="F157" s="11"/>
      <c r="G157" s="11"/>
      <c r="J157" s="15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产品情景利润预测与EPS情景预测</vt:lpstr>
      <vt:lpstr>现金流贴现模型估值悲观情景</vt:lpstr>
      <vt:lpstr>现金流贴现模型估值正常情景</vt:lpstr>
      <vt:lpstr>现金流贴现模型估值乐观情景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 A</dc:creator>
  <cp:lastModifiedBy>是谁住在大菠萝里</cp:lastModifiedBy>
  <dcterms:created xsi:type="dcterms:W3CDTF">2015-06-05T18:19:34Z</dcterms:created>
  <dcterms:modified xsi:type="dcterms:W3CDTF">2022-06-07T01:38:43Z</dcterms:modified>
</cp:coreProperties>
</file>