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emdb_id</t>
        </is>
      </c>
      <c r="B1" s="1" t="inlineStr">
        <is>
          <t>group</t>
        </is>
      </c>
      <c r="C1" s="1" t="inlineStr">
        <is>
          <t>resolution (Å)</t>
        </is>
      </c>
      <c r="D1" s="1" t="inlineStr">
        <is>
          <t>rise_deposited (Å)</t>
        </is>
      </c>
      <c r="E1" s="1" t="inlineStr">
        <is>
          <t>twist_deposited (°)</t>
        </is>
      </c>
      <c r="F1" s="1" t="inlineStr">
        <is>
          <t>csym_deposited</t>
        </is>
      </c>
      <c r="G1" s="1" t="inlineStr">
        <is>
          <t>rise_validated (Å)</t>
        </is>
      </c>
      <c r="H1" s="1" t="inlineStr">
        <is>
          <t>twist_validated (°)</t>
        </is>
      </c>
      <c r="I1" s="1" t="inlineStr">
        <is>
          <t>csym_validated</t>
        </is>
      </c>
      <c r="J1" s="1" t="inlineStr">
        <is>
          <t>vector difference</t>
        </is>
      </c>
      <c r="K1" s="1" t="inlineStr">
        <is>
          <t>axes order</t>
        </is>
      </c>
      <c r="L1" s="1" t="inlineStr">
        <is>
          <t>cc_emdb</t>
        </is>
      </c>
      <c r="M1" s="1" t="inlineStr">
        <is>
          <t>cc_validated</t>
        </is>
      </c>
      <c r="N1" s="1" t="inlineStr">
        <is>
          <t>validated</t>
        </is>
      </c>
      <c r="O1" s="1" t="inlineStr">
        <is>
          <t>cc_improvement</t>
        </is>
      </c>
      <c r="P1" s="1" t="inlineStr">
        <is>
          <t>reason</t>
        </is>
      </c>
      <c r="Q1" s="1" t="inlineStr">
        <is>
          <t>reason 1</t>
        </is>
      </c>
      <c r="R1" s="1" t="inlineStr">
        <is>
          <t>reason 2</t>
        </is>
      </c>
      <c r="S1" s="1" t="inlineStr">
        <is>
          <t>HI3D_link</t>
        </is>
      </c>
    </row>
    <row r="2">
      <c r="A2" t="inlineStr">
        <is>
          <t>EMD-18271</t>
        </is>
      </c>
      <c r="B2" t="inlineStr">
        <is>
          <t>amyloid</t>
        </is>
      </c>
      <c r="C2" t="n">
        <v>1.75</v>
      </c>
      <c r="D2" t="n">
        <v>4.75</v>
      </c>
      <c r="E2" t="n">
        <v>-1.31</v>
      </c>
      <c r="F2" t="inlineStr">
        <is>
          <t>C2</t>
        </is>
      </c>
      <c r="G2" t="inlineStr">
        <is>
          <t>4.75</t>
        </is>
      </c>
      <c r="H2" t="n">
        <v>-1.31</v>
      </c>
      <c r="I2" t="inlineStr">
        <is>
          <t>C2</t>
        </is>
      </c>
      <c r="J2" t="n">
        <v>0</v>
      </c>
      <c r="K2" t="inlineStr"/>
      <c r="L2" t="n">
        <v>0.95695</v>
      </c>
      <c r="M2" t="n">
        <v>0.95695</v>
      </c>
      <c r="N2" t="inlineStr">
        <is>
          <t>Yes</t>
        </is>
      </c>
      <c r="O2" t="inlineStr">
        <is>
          <t>equal</t>
        </is>
      </c>
      <c r="P2" t="inlineStr">
        <is>
          <t>deposited</t>
        </is>
      </c>
      <c r="Q2" t="inlineStr"/>
      <c r="R2" t="inlineStr"/>
      <c r="S2">
        <f>HYPERLINK("https://helical-indexing-hi3d.streamlit.app/?emd_id=emd-18271&amp;rise=4.75&amp;twist=-1.31&amp;csym=2&amp;rise2=4.75&amp;twist2=-1.31&amp;csym2=2", "Link")</f>
        <v/>
      </c>
    </row>
    <row r="3">
      <c r="A3" t="inlineStr">
        <is>
          <t>EMD-14057</t>
        </is>
      </c>
      <c r="B3" t="inlineStr">
        <is>
          <t>amyloid</t>
        </is>
      </c>
      <c r="C3" t="n">
        <v>1.86</v>
      </c>
      <c r="D3" t="n">
        <v>2.368</v>
      </c>
      <c r="E3" t="n">
        <v>179.597</v>
      </c>
      <c r="F3" t="inlineStr">
        <is>
          <t>C1</t>
        </is>
      </c>
      <c r="G3" t="inlineStr">
        <is>
          <t>2.367</t>
        </is>
      </c>
      <c r="H3" t="n">
        <v>-179.6</v>
      </c>
      <c r="I3" t="inlineStr">
        <is>
          <t>C1</t>
        </is>
      </c>
      <c r="J3" t="n">
        <v>0.2878643636223589</v>
      </c>
      <c r="K3" t="inlineStr"/>
      <c r="L3" t="n">
        <v>0.13652</v>
      </c>
      <c r="M3" t="n">
        <v>0.96621</v>
      </c>
      <c r="N3" t="inlineStr">
        <is>
          <t>Yes</t>
        </is>
      </c>
      <c r="O3" t="inlineStr">
        <is>
          <t>improve</t>
        </is>
      </c>
      <c r="P3" t="inlineStr">
        <is>
          <t>twist sign</t>
        </is>
      </c>
      <c r="Q3" t="inlineStr"/>
      <c r="R3" t="inlineStr"/>
      <c r="S3">
        <f>HYPERLINK("https://helical-indexing-hi3d.streamlit.app/?emd_id=emd-14057&amp;rise=2.367&amp;twist=-179.6&amp;csym=1&amp;rise2=2.368&amp;twist2=179.597&amp;csym2=1", "Link")</f>
        <v/>
      </c>
    </row>
    <row r="4">
      <c r="A4" t="inlineStr">
        <is>
          <t>EMD-13223</t>
        </is>
      </c>
      <c r="B4" t="inlineStr">
        <is>
          <t>amyloid</t>
        </is>
      </c>
      <c r="C4" t="n">
        <v>1.9</v>
      </c>
      <c r="D4" t="n">
        <v>4.78</v>
      </c>
      <c r="E4" t="n">
        <v>-0.36</v>
      </c>
      <c r="F4" t="inlineStr">
        <is>
          <t>C1</t>
        </is>
      </c>
      <c r="G4" t="inlineStr">
        <is>
          <t>4.78</t>
        </is>
      </c>
      <c r="H4" t="n">
        <v>-0.36</v>
      </c>
      <c r="I4" t="inlineStr">
        <is>
          <t>C1</t>
        </is>
      </c>
      <c r="J4" t="n">
        <v>0</v>
      </c>
      <c r="K4" t="inlineStr"/>
      <c r="L4" t="n">
        <v>0.96122</v>
      </c>
      <c r="M4" t="n">
        <v>0.96122</v>
      </c>
      <c r="N4" t="inlineStr">
        <is>
          <t>Yes</t>
        </is>
      </c>
      <c r="O4" t="inlineStr">
        <is>
          <t>equal</t>
        </is>
      </c>
      <c r="P4" t="inlineStr">
        <is>
          <t>deposited</t>
        </is>
      </c>
      <c r="Q4" t="inlineStr"/>
      <c r="R4" t="inlineStr"/>
      <c r="S4">
        <f>HYPERLINK("https://helical-indexing-hi3d.streamlit.app/?emd_id=emd-13223&amp;rise=4.78&amp;twist=-0.36&amp;csym=1&amp;rise2=4.78&amp;twist2=-0.36&amp;csym2=1", "Link")</f>
        <v/>
      </c>
    </row>
    <row r="5">
      <c r="A5" t="inlineStr">
        <is>
          <t>EMD-18279</t>
        </is>
      </c>
      <c r="B5" t="inlineStr">
        <is>
          <t>amyloid</t>
        </is>
      </c>
      <c r="C5" t="n">
        <v>1.91</v>
      </c>
      <c r="D5" t="n">
        <v>4.74</v>
      </c>
      <c r="E5" t="n">
        <v>-1.45</v>
      </c>
      <c r="F5" t="inlineStr">
        <is>
          <t>C1</t>
        </is>
      </c>
      <c r="G5" t="inlineStr">
        <is>
          <t>4.74</t>
        </is>
      </c>
      <c r="H5" t="n">
        <v>-1.45</v>
      </c>
      <c r="I5" t="inlineStr">
        <is>
          <t>C1</t>
        </is>
      </c>
      <c r="J5" t="n">
        <v>0</v>
      </c>
      <c r="K5" t="inlineStr"/>
      <c r="L5" t="n">
        <v>0.96227</v>
      </c>
      <c r="M5" t="n">
        <v>0.96227</v>
      </c>
      <c r="N5" t="inlineStr">
        <is>
          <t>Yes</t>
        </is>
      </c>
      <c r="O5" t="inlineStr">
        <is>
          <t>equal</t>
        </is>
      </c>
      <c r="P5" t="inlineStr">
        <is>
          <t>deposited</t>
        </is>
      </c>
      <c r="Q5" t="inlineStr"/>
      <c r="R5" t="inlineStr"/>
      <c r="S5">
        <f>HYPERLINK("https://helical-indexing-hi3d.streamlit.app/?emd_id=emd-18279&amp;rise=4.74&amp;twist=-1.45&amp;csym=1&amp;rise2=4.74&amp;twist2=-1.45&amp;csym2=1", "Link")</f>
        <v/>
      </c>
    </row>
    <row r="6">
      <c r="A6" t="inlineStr">
        <is>
          <t>EMD-18250</t>
        </is>
      </c>
      <c r="B6" t="inlineStr">
        <is>
          <t>amyloid</t>
        </is>
      </c>
      <c r="C6" t="n">
        <v>1.92</v>
      </c>
      <c r="D6" t="n">
        <v>4.74</v>
      </c>
      <c r="E6" t="n">
        <v>-1.08</v>
      </c>
      <c r="F6" t="inlineStr">
        <is>
          <t>C1</t>
        </is>
      </c>
      <c r="G6" t="inlineStr">
        <is>
          <t>4.74</t>
        </is>
      </c>
      <c r="H6" t="n">
        <v>-1.08</v>
      </c>
      <c r="I6" t="inlineStr">
        <is>
          <t>C1</t>
        </is>
      </c>
      <c r="J6" t="n">
        <v>0</v>
      </c>
      <c r="K6" t="inlineStr"/>
      <c r="L6" t="n">
        <v>0.95787</v>
      </c>
      <c r="M6" t="n">
        <v>0.95787</v>
      </c>
      <c r="N6" t="inlineStr">
        <is>
          <t>Yes</t>
        </is>
      </c>
      <c r="O6" t="inlineStr">
        <is>
          <t>equal</t>
        </is>
      </c>
      <c r="P6" t="inlineStr">
        <is>
          <t>deposited</t>
        </is>
      </c>
      <c r="Q6" t="inlineStr"/>
      <c r="R6" t="inlineStr"/>
      <c r="S6">
        <f>HYPERLINK("https://helical-indexing-hi3d.streamlit.app/?emd_id=emd-18250&amp;rise=4.74&amp;twist=-1.08&amp;csym=1&amp;rise2=4.74&amp;twist2=-1.08&amp;csym2=1", "Link")</f>
        <v/>
      </c>
    </row>
    <row r="7">
      <c r="A7" t="inlineStr">
        <is>
          <t>EMD-14038</t>
        </is>
      </c>
      <c r="B7" t="inlineStr">
        <is>
          <t>amyloid</t>
        </is>
      </c>
      <c r="C7" t="n">
        <v>1.92</v>
      </c>
      <c r="D7" t="n">
        <v>4.75</v>
      </c>
      <c r="E7" t="n">
        <v>-1.129</v>
      </c>
      <c r="F7" t="inlineStr">
        <is>
          <t>C3</t>
        </is>
      </c>
      <c r="G7" t="inlineStr">
        <is>
          <t>4.75</t>
        </is>
      </c>
      <c r="H7" t="n">
        <v>-1.129</v>
      </c>
      <c r="I7" t="inlineStr">
        <is>
          <t>C3</t>
        </is>
      </c>
      <c r="J7" t="n">
        <v>0</v>
      </c>
      <c r="K7" t="inlineStr"/>
      <c r="L7" t="n">
        <v>0.94578</v>
      </c>
      <c r="M7" t="n">
        <v>0.94578</v>
      </c>
      <c r="N7" t="inlineStr">
        <is>
          <t>Yes</t>
        </is>
      </c>
      <c r="O7" t="inlineStr">
        <is>
          <t>equal</t>
        </is>
      </c>
      <c r="P7" t="inlineStr">
        <is>
          <t>deposited</t>
        </is>
      </c>
      <c r="Q7" t="inlineStr"/>
      <c r="R7" t="inlineStr"/>
      <c r="S7">
        <f>HYPERLINK("https://helical-indexing-hi3d.streamlit.app/?emd_id=emd-14038&amp;rise=4.75&amp;twist=-1.129&amp;csym=3&amp;rise2=4.75&amp;twist2=-1.129&amp;csym2=3", "Link")</f>
        <v/>
      </c>
    </row>
    <row r="8">
      <c r="A8" t="inlineStr">
        <is>
          <t>EMD-16999</t>
        </is>
      </c>
      <c r="B8" t="inlineStr">
        <is>
          <t>amyloid</t>
        </is>
      </c>
      <c r="C8" t="n">
        <v>1.97</v>
      </c>
      <c r="D8" t="n">
        <v>4.78</v>
      </c>
      <c r="E8" t="n">
        <v>-2.12</v>
      </c>
      <c r="F8" t="inlineStr">
        <is>
          <t>C1</t>
        </is>
      </c>
      <c r="G8" t="inlineStr">
        <is>
          <t>4.78</t>
        </is>
      </c>
      <c r="H8" t="n">
        <v>-2.12</v>
      </c>
      <c r="I8" t="inlineStr">
        <is>
          <t>C1</t>
        </is>
      </c>
      <c r="J8" t="n">
        <v>0</v>
      </c>
      <c r="K8" t="inlineStr"/>
      <c r="L8" t="n">
        <v>0.94334</v>
      </c>
      <c r="M8" t="n">
        <v>0.94334</v>
      </c>
      <c r="N8" t="inlineStr">
        <is>
          <t>Yes</t>
        </is>
      </c>
      <c r="O8" t="inlineStr">
        <is>
          <t>equal</t>
        </is>
      </c>
      <c r="P8" t="inlineStr">
        <is>
          <t>deposited</t>
        </is>
      </c>
      <c r="Q8" t="inlineStr"/>
      <c r="R8" t="inlineStr"/>
      <c r="S8">
        <f>HYPERLINK("https://helical-indexing-hi3d.streamlit.app/?emd_id=emd-16999&amp;rise=4.78&amp;twist=-2.12&amp;csym=1&amp;rise2=4.78&amp;twist2=-2.12&amp;csym2=1", "Link")</f>
        <v/>
      </c>
    </row>
    <row r="9">
      <c r="A9" t="inlineStr">
        <is>
          <t>EMD-16023</t>
        </is>
      </c>
      <c r="B9" t="inlineStr">
        <is>
          <t>amyloid</t>
        </is>
      </c>
      <c r="C9" t="n">
        <v>1.99</v>
      </c>
      <c r="D9" t="n">
        <v>4.74</v>
      </c>
      <c r="E9" t="n">
        <v>-2.93</v>
      </c>
      <c r="F9" t="inlineStr">
        <is>
          <t>C2</t>
        </is>
      </c>
      <c r="G9" t="inlineStr">
        <is>
          <t>4.74</t>
        </is>
      </c>
      <c r="H9" t="n">
        <v>-2.93</v>
      </c>
      <c r="I9" t="inlineStr">
        <is>
          <t>C2</t>
        </is>
      </c>
      <c r="J9" t="n">
        <v>0</v>
      </c>
      <c r="K9" t="inlineStr"/>
      <c r="L9" t="n">
        <v>0.95265</v>
      </c>
      <c r="M9" t="n">
        <v>0.95265</v>
      </c>
      <c r="N9" t="inlineStr">
        <is>
          <t>Yes</t>
        </is>
      </c>
      <c r="O9" t="inlineStr">
        <is>
          <t>equal</t>
        </is>
      </c>
      <c r="P9" t="inlineStr">
        <is>
          <t>deposited</t>
        </is>
      </c>
      <c r="Q9" t="inlineStr"/>
      <c r="R9" t="inlineStr"/>
      <c r="S9">
        <f>HYPERLINK("https://helical-indexing-hi3d.streamlit.app/?emd_id=emd-16023&amp;rise=4.74&amp;twist=-2.93&amp;csym=2&amp;rise2=4.74&amp;twist2=-2.93&amp;csym2=2", "Link")</f>
        <v/>
      </c>
    </row>
    <row r="10">
      <c r="A10" t="inlineStr">
        <is>
          <t>EMD-16188</t>
        </is>
      </c>
      <c r="B10" t="inlineStr">
        <is>
          <t>amyloid</t>
        </is>
      </c>
      <c r="C10" t="n">
        <v>2</v>
      </c>
      <c r="D10" t="n">
        <v>4.77</v>
      </c>
      <c r="E10" t="n">
        <v>-1.33</v>
      </c>
      <c r="F10" t="inlineStr">
        <is>
          <t>C1</t>
        </is>
      </c>
      <c r="G10" t="inlineStr">
        <is>
          <t>4.77</t>
        </is>
      </c>
      <c r="H10" t="n">
        <v>-1.33</v>
      </c>
      <c r="I10" t="inlineStr">
        <is>
          <t>C1</t>
        </is>
      </c>
      <c r="J10" t="n">
        <v>0</v>
      </c>
      <c r="K10" t="inlineStr"/>
      <c r="L10" t="n">
        <v>0.94695</v>
      </c>
      <c r="M10" t="n">
        <v>0.94695</v>
      </c>
      <c r="N10" t="inlineStr">
        <is>
          <t>Yes</t>
        </is>
      </c>
      <c r="O10" t="inlineStr">
        <is>
          <t>equal</t>
        </is>
      </c>
      <c r="P10" t="inlineStr">
        <is>
          <t>deposited</t>
        </is>
      </c>
      <c r="Q10" t="inlineStr"/>
      <c r="R10" t="inlineStr"/>
      <c r="S10">
        <f>HYPERLINK("https://helical-indexing-hi3d.streamlit.app/?emd_id=emd-16188&amp;rise=4.77&amp;twist=-1.33&amp;csym=1&amp;rise2=4.77&amp;twist2=-1.33&amp;csym2=1", "Link")</f>
        <v/>
      </c>
    </row>
    <row r="11">
      <c r="A11" t="inlineStr">
        <is>
          <t>EMD-17806</t>
        </is>
      </c>
      <c r="B11" t="inlineStr">
        <is>
          <t>amyloid</t>
        </is>
      </c>
      <c r="C11" t="n">
        <v>2</v>
      </c>
      <c r="D11" t="n">
        <v>2.3667</v>
      </c>
      <c r="E11" t="n">
        <v>176.886</v>
      </c>
      <c r="F11" t="inlineStr">
        <is>
          <t>C1</t>
        </is>
      </c>
      <c r="G11" t="inlineStr">
        <is>
          <t>2.3667</t>
        </is>
      </c>
      <c r="H11" t="n">
        <v>176.886</v>
      </c>
      <c r="I11" t="inlineStr">
        <is>
          <t>C1</t>
        </is>
      </c>
      <c r="J11" t="n">
        <v>0</v>
      </c>
      <c r="K11" t="inlineStr"/>
      <c r="L11" t="n">
        <v>0.96557</v>
      </c>
      <c r="M11" t="n">
        <v>0.96557</v>
      </c>
      <c r="N11" t="inlineStr">
        <is>
          <t>Yes</t>
        </is>
      </c>
      <c r="O11" t="inlineStr">
        <is>
          <t>equal</t>
        </is>
      </c>
      <c r="P11" t="inlineStr">
        <is>
          <t>deposited</t>
        </is>
      </c>
      <c r="Q11" t="inlineStr"/>
      <c r="R11" t="inlineStr"/>
      <c r="S11">
        <f>HYPERLINK("https://helical-indexing-hi3d.streamlit.app/?emd_id=emd-17806&amp;rise=2.3667&amp;twist=176.886&amp;csym=1&amp;rise2=2.3667&amp;twist2=176.886&amp;csym2=1", "Link")</f>
        <v/>
      </c>
    </row>
    <row r="12">
      <c r="A12" t="inlineStr">
        <is>
          <t>EMD-18070</t>
        </is>
      </c>
      <c r="B12" t="inlineStr">
        <is>
          <t>amyloid</t>
        </is>
      </c>
      <c r="C12" t="n">
        <v>2.02</v>
      </c>
      <c r="D12" t="n">
        <v>4.71</v>
      </c>
      <c r="E12" t="n">
        <v>-1.11</v>
      </c>
      <c r="F12" t="inlineStr">
        <is>
          <t>C1</t>
        </is>
      </c>
      <c r="G12" t="inlineStr">
        <is>
          <t>4.71</t>
        </is>
      </c>
      <c r="H12" t="n">
        <v>-1.11</v>
      </c>
      <c r="I12" t="inlineStr">
        <is>
          <t>C1</t>
        </is>
      </c>
      <c r="J12" t="n">
        <v>0</v>
      </c>
      <c r="K12" t="inlineStr"/>
      <c r="L12" t="n">
        <v>0.95897</v>
      </c>
      <c r="M12" t="n">
        <v>0.95897</v>
      </c>
      <c r="N12" t="inlineStr">
        <is>
          <t>Yes</t>
        </is>
      </c>
      <c r="O12" t="inlineStr">
        <is>
          <t>equal</t>
        </is>
      </c>
      <c r="P12" t="inlineStr">
        <is>
          <t>deposited</t>
        </is>
      </c>
      <c r="Q12" t="inlineStr"/>
      <c r="R12" t="inlineStr"/>
      <c r="S12">
        <f>HYPERLINK("https://helical-indexing-hi3d.streamlit.app/?emd_id=emd-18070&amp;rise=4.71&amp;twist=-1.11&amp;csym=1&amp;rise2=4.71&amp;twist2=-1.11&amp;csym2=1", "Link")</f>
        <v/>
      </c>
    </row>
    <row r="13">
      <c r="A13" t="inlineStr">
        <is>
          <t>EMD-14046</t>
        </is>
      </c>
      <c r="B13" t="inlineStr">
        <is>
          <t>amyloid</t>
        </is>
      </c>
      <c r="C13" t="n">
        <v>2.07</v>
      </c>
      <c r="D13" t="n">
        <v>2.378</v>
      </c>
      <c r="E13" t="n">
        <v>179.402</v>
      </c>
      <c r="F13" t="inlineStr">
        <is>
          <t>C1</t>
        </is>
      </c>
      <c r="G13" t="inlineStr">
        <is>
          <t>2.378</t>
        </is>
      </c>
      <c r="H13" t="n">
        <v>179.402</v>
      </c>
      <c r="I13" t="inlineStr">
        <is>
          <t>C1</t>
        </is>
      </c>
      <c r="J13" t="n">
        <v>0</v>
      </c>
      <c r="K13" t="inlineStr"/>
      <c r="L13" t="n">
        <v>0.95419</v>
      </c>
      <c r="M13" t="n">
        <v>0.95419</v>
      </c>
      <c r="N13" t="inlineStr">
        <is>
          <t>Yes</t>
        </is>
      </c>
      <c r="O13" t="inlineStr">
        <is>
          <t>equal</t>
        </is>
      </c>
      <c r="P13" t="inlineStr">
        <is>
          <t>deposited</t>
        </is>
      </c>
      <c r="Q13" t="inlineStr"/>
      <c r="R13" t="inlineStr"/>
      <c r="S13">
        <f>HYPERLINK("https://helical-indexing-hi3d.streamlit.app/?emd_id=emd-14046&amp;rise=2.378&amp;twist=179.402&amp;csym=1&amp;rise2=2.378&amp;twist2=179.402&amp;csym2=1", "Link")</f>
        <v/>
      </c>
    </row>
    <row r="14">
      <c r="A14" t="inlineStr">
        <is>
          <t>EMD-18258</t>
        </is>
      </c>
      <c r="B14" t="inlineStr">
        <is>
          <t>amyloid</t>
        </is>
      </c>
      <c r="C14" t="n">
        <v>2.1</v>
      </c>
      <c r="D14" t="n">
        <v>2.38</v>
      </c>
      <c r="E14" t="n">
        <v>179.494</v>
      </c>
      <c r="F14" t="inlineStr">
        <is>
          <t>C1</t>
        </is>
      </c>
      <c r="G14" t="inlineStr">
        <is>
          <t>2.38</t>
        </is>
      </c>
      <c r="H14" t="n">
        <v>179.494</v>
      </c>
      <c r="I14" t="inlineStr">
        <is>
          <t>C1</t>
        </is>
      </c>
      <c r="J14" t="n">
        <v>0</v>
      </c>
      <c r="K14" t="inlineStr"/>
      <c r="L14" t="n">
        <v>0.95705</v>
      </c>
      <c r="M14" t="n">
        <v>0.95705</v>
      </c>
      <c r="N14" t="inlineStr">
        <is>
          <t>Yes</t>
        </is>
      </c>
      <c r="O14" t="inlineStr">
        <is>
          <t>equal</t>
        </is>
      </c>
      <c r="P14" t="inlineStr">
        <is>
          <t>deposited</t>
        </is>
      </c>
      <c r="Q14" t="inlineStr"/>
      <c r="R14" t="inlineStr"/>
      <c r="S14">
        <f>HYPERLINK("https://helical-indexing-hi3d.streamlit.app/?emd_id=emd-18258&amp;rise=2.38&amp;twist=179.494&amp;csym=1&amp;rise2=2.38&amp;twist2=179.494&amp;csym2=1", "Link")</f>
        <v/>
      </c>
    </row>
    <row r="15">
      <c r="A15" t="inlineStr">
        <is>
          <t>EMD-17022</t>
        </is>
      </c>
      <c r="B15" t="inlineStr">
        <is>
          <t>amyloid</t>
        </is>
      </c>
      <c r="C15" t="n">
        <v>2.14</v>
      </c>
      <c r="D15" t="n">
        <v>4.78</v>
      </c>
      <c r="E15" t="n">
        <v>-2.15</v>
      </c>
      <c r="F15" t="inlineStr">
        <is>
          <t>C1</t>
        </is>
      </c>
      <c r="G15" t="inlineStr">
        <is>
          <t>4.82</t>
        </is>
      </c>
      <c r="H15" t="n">
        <v>-2.14</v>
      </c>
      <c r="I15" t="inlineStr">
        <is>
          <t>C1</t>
        </is>
      </c>
      <c r="J15" t="n">
        <v>0.040123636</v>
      </c>
      <c r="K15" t="inlineStr"/>
      <c r="L15" t="n">
        <v>0.84428</v>
      </c>
      <c r="M15" t="n">
        <v>0.88955</v>
      </c>
      <c r="N15" t="inlineStr">
        <is>
          <t>Yes</t>
        </is>
      </c>
      <c r="O15" t="inlineStr">
        <is>
          <t>improve</t>
        </is>
      </c>
      <c r="P15" t="inlineStr">
        <is>
          <t>adjusted decimals</t>
        </is>
      </c>
      <c r="Q15" t="inlineStr"/>
      <c r="R15" t="inlineStr"/>
      <c r="S15">
        <f>HYPERLINK("https://helical-indexing-hi3d.streamlit.app/?emd_id=emd-17022&amp;rise=4.82&amp;twist=-2.14&amp;csym=1&amp;rise2=4.78&amp;twist2=-2.15&amp;csym2=1", "Link")</f>
        <v/>
      </c>
    </row>
    <row r="16">
      <c r="A16" t="inlineStr">
        <is>
          <t>EMD-18281</t>
        </is>
      </c>
      <c r="B16" t="inlineStr">
        <is>
          <t>amyloid</t>
        </is>
      </c>
      <c r="C16" t="n">
        <v>2.18</v>
      </c>
      <c r="D16" t="n">
        <v>2.374</v>
      </c>
      <c r="E16" t="n">
        <v>179.389</v>
      </c>
      <c r="F16" t="inlineStr">
        <is>
          <t>C1</t>
        </is>
      </c>
      <c r="G16" t="inlineStr">
        <is>
          <t>2.374</t>
        </is>
      </c>
      <c r="H16" t="n">
        <v>179.389</v>
      </c>
      <c r="I16" t="inlineStr">
        <is>
          <t>C1</t>
        </is>
      </c>
      <c r="J16" t="n">
        <v>0</v>
      </c>
      <c r="K16" t="inlineStr"/>
      <c r="L16" t="n">
        <v>0.96484</v>
      </c>
      <c r="M16" t="n">
        <v>0.96484</v>
      </c>
      <c r="N16" t="inlineStr">
        <is>
          <t>Yes</t>
        </is>
      </c>
      <c r="O16" t="inlineStr">
        <is>
          <t>equal</t>
        </is>
      </c>
      <c r="P16" t="inlineStr">
        <is>
          <t>deposited</t>
        </is>
      </c>
      <c r="Q16" t="inlineStr"/>
      <c r="R16" t="inlineStr"/>
      <c r="S16">
        <f>HYPERLINK("https://helical-indexing-hi3d.streamlit.app/?emd_id=emd-18281&amp;rise=2.374&amp;twist=179.389&amp;csym=1&amp;rise2=2.374&amp;twist2=179.389&amp;csym2=1", "Link")</f>
        <v/>
      </c>
    </row>
    <row r="17">
      <c r="A17" t="inlineStr">
        <is>
          <t>EMD-18112</t>
        </is>
      </c>
      <c r="B17" t="inlineStr">
        <is>
          <t>amyloid</t>
        </is>
      </c>
      <c r="C17" t="n">
        <v>2.2</v>
      </c>
      <c r="D17" t="n">
        <v>4.74</v>
      </c>
      <c r="E17" t="n">
        <v>-1.44</v>
      </c>
      <c r="F17" t="inlineStr">
        <is>
          <t>C2</t>
        </is>
      </c>
      <c r="G17" t="inlineStr">
        <is>
          <t>4.74</t>
        </is>
      </c>
      <c r="H17" t="n">
        <v>-1.44</v>
      </c>
      <c r="I17" t="inlineStr">
        <is>
          <t>C2</t>
        </is>
      </c>
      <c r="J17" t="n">
        <v>0</v>
      </c>
      <c r="K17" t="inlineStr"/>
      <c r="L17" t="n">
        <v>0.96693</v>
      </c>
      <c r="M17" t="n">
        <v>0.96693</v>
      </c>
      <c r="N17" t="inlineStr">
        <is>
          <t>Yes</t>
        </is>
      </c>
      <c r="O17" t="inlineStr">
        <is>
          <t>equal</t>
        </is>
      </c>
      <c r="P17" t="inlineStr">
        <is>
          <t>deposited</t>
        </is>
      </c>
      <c r="Q17" t="inlineStr"/>
      <c r="R17" t="inlineStr"/>
      <c r="S17">
        <f>HYPERLINK("https://helical-indexing-hi3d.streamlit.app/?emd_id=emd-18112&amp;rise=4.74&amp;twist=-1.44&amp;csym=2&amp;rise2=4.74&amp;twist2=-1.44&amp;csym2=2", "Link")</f>
        <v/>
      </c>
    </row>
    <row r="18">
      <c r="A18" t="inlineStr">
        <is>
          <t>EMD-33719</t>
        </is>
      </c>
      <c r="B18" t="inlineStr">
        <is>
          <t>amyloid</t>
        </is>
      </c>
      <c r="C18" t="n">
        <v>2.2</v>
      </c>
      <c r="D18" t="n">
        <v>4.77</v>
      </c>
      <c r="E18" t="n">
        <v>-1.76</v>
      </c>
      <c r="F18" t="inlineStr">
        <is>
          <t>C1</t>
        </is>
      </c>
      <c r="G18" t="inlineStr">
        <is>
          <t>1.19</t>
        </is>
      </c>
      <c r="H18" t="n">
        <v>-90.44</v>
      </c>
      <c r="I18" t="inlineStr">
        <is>
          <t>C1</t>
        </is>
      </c>
      <c r="J18" t="n">
        <v>33.56635689190939</v>
      </c>
      <c r="K18" t="inlineStr"/>
      <c r="L18" t="n">
        <v>0.80997</v>
      </c>
      <c r="M18" t="n">
        <v>0.82192</v>
      </c>
      <c r="N18" t="inlineStr">
        <is>
          <t>Yes</t>
        </is>
      </c>
      <c r="O18" t="inlineStr">
        <is>
          <t>improve</t>
        </is>
      </c>
      <c r="P18" t="inlineStr">
        <is>
          <t>different</t>
        </is>
      </c>
      <c r="Q18" t="inlineStr">
        <is>
          <t>partial symmetry</t>
        </is>
      </c>
      <c r="R18" t="inlineStr"/>
      <c r="S18">
        <f>HYPERLINK("https://helical-indexing-hi3d.streamlit.app/?emd_id=emd-33719&amp;rise=1.19&amp;twist=-90.44&amp;csym=1&amp;rise2=4.77&amp;twist2=-1.76&amp;csym2=1", "Link")</f>
        <v/>
      </c>
    </row>
    <row r="19">
      <c r="A19" t="inlineStr">
        <is>
          <t>EMD-15285</t>
        </is>
      </c>
      <c r="B19" t="inlineStr">
        <is>
          <t>amyloid</t>
        </is>
      </c>
      <c r="C19" t="n">
        <v>2.2</v>
      </c>
      <c r="D19" t="n">
        <v>4.76</v>
      </c>
      <c r="E19" t="n">
        <v>0.86</v>
      </c>
      <c r="F19" t="inlineStr">
        <is>
          <t>C1</t>
        </is>
      </c>
      <c r="G19" t="inlineStr">
        <is>
          <t>4.76</t>
        </is>
      </c>
      <c r="H19" t="n">
        <v>0.86</v>
      </c>
      <c r="I19" t="inlineStr">
        <is>
          <t>C1</t>
        </is>
      </c>
      <c r="J19" t="n">
        <v>0</v>
      </c>
      <c r="K19" t="inlineStr"/>
      <c r="L19" t="n">
        <v>0.95129</v>
      </c>
      <c r="M19" t="n">
        <v>0.95129</v>
      </c>
      <c r="N19" t="inlineStr">
        <is>
          <t>Yes</t>
        </is>
      </c>
      <c r="O19" t="inlineStr">
        <is>
          <t>equal</t>
        </is>
      </c>
      <c r="P19" t="inlineStr">
        <is>
          <t>deposited</t>
        </is>
      </c>
      <c r="Q19" t="inlineStr"/>
      <c r="R19" t="inlineStr"/>
      <c r="S19">
        <f>HYPERLINK("https://helical-indexing-hi3d.streamlit.app/?emd_id=emd-15285&amp;rise=4.76&amp;twist=0.86&amp;csym=1&amp;rise2=4.76&amp;twist2=0.86&amp;csym2=1", "Link")</f>
        <v/>
      </c>
    </row>
    <row r="20">
      <c r="A20" t="inlineStr">
        <is>
          <t>EMD-13224</t>
        </is>
      </c>
      <c r="B20" t="inlineStr">
        <is>
          <t>amyloid</t>
        </is>
      </c>
      <c r="C20" t="n">
        <v>2.2</v>
      </c>
      <c r="D20" t="n">
        <v>4.78</v>
      </c>
      <c r="E20" t="n">
        <v>-0.39</v>
      </c>
      <c r="F20" t="inlineStr">
        <is>
          <t>C1</t>
        </is>
      </c>
      <c r="G20" t="inlineStr">
        <is>
          <t>4.78</t>
        </is>
      </c>
      <c r="H20" t="n">
        <v>-0.39</v>
      </c>
      <c r="I20" t="inlineStr">
        <is>
          <t>C1</t>
        </is>
      </c>
      <c r="J20" t="n">
        <v>0</v>
      </c>
      <c r="K20" t="inlineStr"/>
      <c r="L20" t="n">
        <v>0.96287</v>
      </c>
      <c r="M20" t="n">
        <v>0.96287</v>
      </c>
      <c r="N20" t="inlineStr">
        <is>
          <t>Yes</t>
        </is>
      </c>
      <c r="O20" t="inlineStr">
        <is>
          <t>equal</t>
        </is>
      </c>
      <c r="P20" t="inlineStr">
        <is>
          <t>deposited</t>
        </is>
      </c>
      <c r="Q20" t="inlineStr"/>
      <c r="R20" t="inlineStr"/>
      <c r="S20">
        <f>HYPERLINK("https://helical-indexing-hi3d.streamlit.app/?emd_id=emd-13224&amp;rise=4.78&amp;twist=-0.39&amp;csym=1&amp;rise2=4.78&amp;twist2=-0.39&amp;csym2=1", "Link")</f>
        <v/>
      </c>
    </row>
    <row r="21">
      <c r="A21" t="inlineStr">
        <is>
          <t>EMD-15753</t>
        </is>
      </c>
      <c r="B21" t="inlineStr">
        <is>
          <t>amyloid</t>
        </is>
      </c>
      <c r="C21" t="n">
        <v>2.2</v>
      </c>
      <c r="D21" t="n">
        <v>2.41</v>
      </c>
      <c r="E21" t="n">
        <v>178.82</v>
      </c>
      <c r="F21" t="inlineStr">
        <is>
          <t>C1</t>
        </is>
      </c>
      <c r="G21" t="inlineStr">
        <is>
          <t>2.41</t>
        </is>
      </c>
      <c r="H21" t="n">
        <v>178.82</v>
      </c>
      <c r="I21" t="inlineStr">
        <is>
          <t>C1</t>
        </is>
      </c>
      <c r="J21" t="n">
        <v>0</v>
      </c>
      <c r="K21" t="inlineStr"/>
      <c r="L21" t="n">
        <v>0.93975</v>
      </c>
      <c r="M21" t="n">
        <v>0.93975</v>
      </c>
      <c r="N21" t="inlineStr">
        <is>
          <t>Yes</t>
        </is>
      </c>
      <c r="O21" t="inlineStr">
        <is>
          <t>equal</t>
        </is>
      </c>
      <c r="P21" t="inlineStr">
        <is>
          <t>deposited</t>
        </is>
      </c>
      <c r="Q21" t="inlineStr"/>
      <c r="R21" t="inlineStr"/>
      <c r="S21">
        <f>HYPERLINK("https://helical-indexing-hi3d.streamlit.app/?emd_id=emd-15753&amp;rise=2.41&amp;twist=178.82&amp;csym=1&amp;rise2=2.41&amp;twist2=178.82&amp;csym2=1", "Link")</f>
        <v/>
      </c>
    </row>
    <row r="22">
      <c r="A22" t="inlineStr">
        <is>
          <t>EMD-18109</t>
        </is>
      </c>
      <c r="B22" t="inlineStr">
        <is>
          <t>amyloid</t>
        </is>
      </c>
      <c r="C22" t="n">
        <v>2.23</v>
      </c>
      <c r="D22" t="n">
        <v>4.75</v>
      </c>
      <c r="E22" t="n">
        <v>-1.22</v>
      </c>
      <c r="F22" t="inlineStr">
        <is>
          <t>C1</t>
        </is>
      </c>
      <c r="G22" t="inlineStr">
        <is>
          <t>4.75</t>
        </is>
      </c>
      <c r="H22" t="n">
        <v>-1.22</v>
      </c>
      <c r="I22" t="inlineStr">
        <is>
          <t>C1</t>
        </is>
      </c>
      <c r="J22" t="n">
        <v>0</v>
      </c>
      <c r="K22" t="inlineStr"/>
      <c r="L22" t="n">
        <v>0.96321</v>
      </c>
      <c r="M22" t="n">
        <v>0.96321</v>
      </c>
      <c r="N22" t="inlineStr">
        <is>
          <t>Yes</t>
        </is>
      </c>
      <c r="O22" t="inlineStr">
        <is>
          <t>equal</t>
        </is>
      </c>
      <c r="P22" t="inlineStr">
        <is>
          <t>deposited</t>
        </is>
      </c>
      <c r="Q22" t="inlineStr"/>
      <c r="R22" t="inlineStr"/>
      <c r="S22">
        <f>HYPERLINK("https://helical-indexing-hi3d.streamlit.app/?emd_id=emd-18109&amp;rise=4.75&amp;twist=-1.22&amp;csym=1&amp;rise2=4.75&amp;twist2=-1.22&amp;csym2=1", "Link")</f>
        <v/>
      </c>
    </row>
    <row r="23">
      <c r="A23" t="inlineStr">
        <is>
          <t>EMD-18236</t>
        </is>
      </c>
      <c r="B23" t="inlineStr">
        <is>
          <t>amyloid</t>
        </is>
      </c>
      <c r="C23" t="n">
        <v>2.27</v>
      </c>
      <c r="D23" t="n">
        <v>4.81</v>
      </c>
      <c r="E23" t="n">
        <v>-2.18</v>
      </c>
      <c r="F23" t="inlineStr">
        <is>
          <t>C1</t>
        </is>
      </c>
      <c r="G23" t="inlineStr">
        <is>
          <t>4.81</t>
        </is>
      </c>
      <c r="H23" t="n">
        <v>-2.18</v>
      </c>
      <c r="I23" t="inlineStr">
        <is>
          <t>C1</t>
        </is>
      </c>
      <c r="J23" t="n">
        <v>0</v>
      </c>
      <c r="K23" t="inlineStr"/>
      <c r="L23" t="n">
        <v>0.82568</v>
      </c>
      <c r="M23" t="n">
        <v>0.82568</v>
      </c>
      <c r="N23" t="inlineStr">
        <is>
          <t>Yes</t>
        </is>
      </c>
      <c r="O23" t="inlineStr">
        <is>
          <t>equal</t>
        </is>
      </c>
      <c r="P23" t="inlineStr">
        <is>
          <t>deposited</t>
        </is>
      </c>
      <c r="Q23" t="inlineStr"/>
      <c r="R23" t="inlineStr"/>
      <c r="S23">
        <f>HYPERLINK("https://helical-indexing-hi3d.streamlit.app/?emd_id=emd-18236&amp;rise=4.81&amp;twist=-2.18&amp;csym=1&amp;rise2=4.81&amp;twist2=-2.18&amp;csym2=1", "Link")</f>
        <v/>
      </c>
    </row>
    <row r="24">
      <c r="A24" t="inlineStr">
        <is>
          <t>EMD-14039</t>
        </is>
      </c>
      <c r="B24" t="inlineStr">
        <is>
          <t>amyloid</t>
        </is>
      </c>
      <c r="C24" t="n">
        <v>2.27</v>
      </c>
      <c r="D24" t="n">
        <v>4.77</v>
      </c>
      <c r="E24" t="n">
        <v>-1.07</v>
      </c>
      <c r="F24" t="inlineStr">
        <is>
          <t>C1</t>
        </is>
      </c>
      <c r="G24" t="inlineStr">
        <is>
          <t>4.77</t>
        </is>
      </c>
      <c r="H24" t="n">
        <v>-1.07</v>
      </c>
      <c r="I24" t="inlineStr">
        <is>
          <t>C1</t>
        </is>
      </c>
      <c r="J24" t="n">
        <v>0</v>
      </c>
      <c r="K24" t="inlineStr"/>
      <c r="L24" t="n">
        <v>0.9614200000000001</v>
      </c>
      <c r="M24" t="n">
        <v>0.9614200000000001</v>
      </c>
      <c r="N24" t="inlineStr">
        <is>
          <t>Yes</t>
        </is>
      </c>
      <c r="O24" t="inlineStr">
        <is>
          <t>equal</t>
        </is>
      </c>
      <c r="P24" t="inlineStr">
        <is>
          <t>deposited</t>
        </is>
      </c>
      <c r="Q24" t="inlineStr"/>
      <c r="R24" t="inlineStr"/>
      <c r="S24">
        <f>HYPERLINK("https://helical-indexing-hi3d.streamlit.app/?emd_id=emd-14039&amp;rise=4.77&amp;twist=-1.07&amp;csym=1&amp;rise2=4.77&amp;twist2=-1.07&amp;csym2=1", "Link")</f>
        <v/>
      </c>
    </row>
    <row r="25">
      <c r="A25" t="inlineStr">
        <is>
          <t>EMD-15754</t>
        </is>
      </c>
      <c r="B25" t="inlineStr">
        <is>
          <t>amyloid</t>
        </is>
      </c>
      <c r="C25" t="n">
        <v>2.3</v>
      </c>
      <c r="D25" t="n">
        <v>2.41</v>
      </c>
      <c r="E25" t="n">
        <v>179.11</v>
      </c>
      <c r="F25" t="inlineStr">
        <is>
          <t>C1</t>
        </is>
      </c>
      <c r="G25" t="inlineStr">
        <is>
          <t>2.41</t>
        </is>
      </c>
      <c r="H25" t="n">
        <v>179.11</v>
      </c>
      <c r="I25" t="inlineStr">
        <is>
          <t>C1</t>
        </is>
      </c>
      <c r="J25" t="n">
        <v>0</v>
      </c>
      <c r="K25" t="inlineStr"/>
      <c r="L25" t="n">
        <v>0.95208</v>
      </c>
      <c r="M25" t="n">
        <v>0.95208</v>
      </c>
      <c r="N25" t="inlineStr">
        <is>
          <t>Yes</t>
        </is>
      </c>
      <c r="O25" t="inlineStr">
        <is>
          <t>equal</t>
        </is>
      </c>
      <c r="P25" t="inlineStr">
        <is>
          <t>deposited</t>
        </is>
      </c>
      <c r="Q25" t="inlineStr"/>
      <c r="R25" t="inlineStr"/>
      <c r="S25">
        <f>HYPERLINK("https://helical-indexing-hi3d.streamlit.app/?emd_id=emd-15754&amp;rise=2.41&amp;twist=179.11&amp;csym=1&amp;rise2=2.41&amp;twist2=179.11&amp;csym2=1", "Link")</f>
        <v/>
      </c>
    </row>
    <row r="26">
      <c r="A26" t="inlineStr">
        <is>
          <t>EMD-16189</t>
        </is>
      </c>
      <c r="B26" t="inlineStr">
        <is>
          <t>amyloid</t>
        </is>
      </c>
      <c r="C26" t="n">
        <v>2.3</v>
      </c>
      <c r="D26" t="n">
        <v>4.71</v>
      </c>
      <c r="E26" t="n">
        <v>-1.11</v>
      </c>
      <c r="F26" t="inlineStr">
        <is>
          <t>C2</t>
        </is>
      </c>
      <c r="G26" t="inlineStr">
        <is>
          <t>4.71</t>
        </is>
      </c>
      <c r="H26" t="n">
        <v>-1.11</v>
      </c>
      <c r="I26" t="inlineStr">
        <is>
          <t>C2</t>
        </is>
      </c>
      <c r="J26" t="n">
        <v>0</v>
      </c>
      <c r="K26" t="inlineStr"/>
      <c r="L26" t="n">
        <v>0.9647</v>
      </c>
      <c r="M26" t="n">
        <v>0.9647</v>
      </c>
      <c r="N26" t="inlineStr">
        <is>
          <t>Yes</t>
        </is>
      </c>
      <c r="O26" t="inlineStr">
        <is>
          <t>equal</t>
        </is>
      </c>
      <c r="P26" t="inlineStr">
        <is>
          <t>deposited</t>
        </is>
      </c>
      <c r="Q26" t="inlineStr"/>
      <c r="R26" t="inlineStr"/>
      <c r="S26">
        <f>HYPERLINK("https://helical-indexing-hi3d.streamlit.app/?emd_id=emd-16189&amp;rise=4.71&amp;twist=-1.11&amp;csym=2&amp;rise2=4.71&amp;twist2=-1.11&amp;csym2=2", "Link")</f>
        <v/>
      </c>
    </row>
    <row r="27">
      <c r="A27" t="inlineStr">
        <is>
          <t>EMD-16532</t>
        </is>
      </c>
      <c r="B27" t="inlineStr">
        <is>
          <t>amyloid</t>
        </is>
      </c>
      <c r="C27" t="n">
        <v>2.3</v>
      </c>
      <c r="D27" t="n">
        <v>2.38</v>
      </c>
      <c r="E27" t="n">
        <v>179.35</v>
      </c>
      <c r="F27" t="inlineStr">
        <is>
          <t>C1</t>
        </is>
      </c>
      <c r="G27" t="inlineStr">
        <is>
          <t>2.39</t>
        </is>
      </c>
      <c r="H27" t="n">
        <v>179.44</v>
      </c>
      <c r="I27" t="inlineStr">
        <is>
          <t>C1</t>
        </is>
      </c>
      <c r="J27" t="n">
        <v>0.0491904794959828</v>
      </c>
      <c r="K27" t="inlineStr"/>
      <c r="L27" t="n">
        <v>0.83086</v>
      </c>
      <c r="M27" t="n">
        <v>0.89567</v>
      </c>
      <c r="N27" t="inlineStr">
        <is>
          <t>Yes</t>
        </is>
      </c>
      <c r="O27" t="inlineStr">
        <is>
          <t>improve</t>
        </is>
      </c>
      <c r="P27" t="inlineStr">
        <is>
          <t>adjusted decimals</t>
        </is>
      </c>
      <c r="Q27" t="inlineStr"/>
      <c r="R27" t="inlineStr"/>
      <c r="S27">
        <f>HYPERLINK("https://helical-indexing-hi3d.streamlit.app/?emd_id=emd-16532&amp;rise=2.39&amp;twist=179.44&amp;csym=1&amp;rise2=2.38&amp;twist2=179.35&amp;csym2=1", "Link")</f>
        <v/>
      </c>
    </row>
    <row r="28">
      <c r="A28" t="inlineStr">
        <is>
          <t>EMD-0527</t>
        </is>
      </c>
      <c r="B28" t="inlineStr">
        <is>
          <t>amyloid</t>
        </is>
      </c>
      <c r="C28" t="n">
        <v>2.3</v>
      </c>
      <c r="D28" t="n">
        <v>2.37</v>
      </c>
      <c r="E28" t="n">
        <v>179.4</v>
      </c>
      <c r="F28" t="inlineStr">
        <is>
          <t>C1</t>
        </is>
      </c>
      <c r="G28" t="inlineStr">
        <is>
          <t>2.37</t>
        </is>
      </c>
      <c r="H28" t="n">
        <v>179.4</v>
      </c>
      <c r="I28" t="inlineStr">
        <is>
          <t>C1</t>
        </is>
      </c>
      <c r="J28" t="n">
        <v>0</v>
      </c>
      <c r="K28" t="inlineStr"/>
      <c r="L28" t="n">
        <v>0.93362</v>
      </c>
      <c r="M28" t="n">
        <v>0.93362</v>
      </c>
      <c r="N28" t="inlineStr">
        <is>
          <t>Yes</t>
        </is>
      </c>
      <c r="O28" t="inlineStr">
        <is>
          <t>equal</t>
        </is>
      </c>
      <c r="P28" t="inlineStr">
        <is>
          <t>deposited</t>
        </is>
      </c>
      <c r="Q28" t="inlineStr"/>
      <c r="R28" t="inlineStr"/>
      <c r="S28">
        <f>HYPERLINK("https://helical-indexing-hi3d.streamlit.app/?emd_id=emd-0527&amp;rise=2.37&amp;twist=179.4&amp;csym=1&amp;rise2=2.37&amp;twist2=179.4&amp;csym2=1", "Link")</f>
        <v/>
      </c>
    </row>
    <row r="29">
      <c r="A29" t="inlineStr">
        <is>
          <t>EMD-17123</t>
        </is>
      </c>
      <c r="B29" t="inlineStr">
        <is>
          <t>amyloid</t>
        </is>
      </c>
      <c r="C29" t="n">
        <v>2.3</v>
      </c>
      <c r="D29" t="n">
        <v>4.75</v>
      </c>
      <c r="E29" t="n">
        <v>-0.92</v>
      </c>
      <c r="F29" t="inlineStr">
        <is>
          <t>C1</t>
        </is>
      </c>
      <c r="G29" t="inlineStr">
        <is>
          <t>4.75</t>
        </is>
      </c>
      <c r="H29" t="n">
        <v>-0.92</v>
      </c>
      <c r="I29" t="inlineStr">
        <is>
          <t>C1</t>
        </is>
      </c>
      <c r="J29" t="n">
        <v>0</v>
      </c>
      <c r="K29" t="inlineStr"/>
      <c r="L29" t="n">
        <v>0.94613</v>
      </c>
      <c r="M29" t="n">
        <v>0.94613</v>
      </c>
      <c r="N29" t="inlineStr">
        <is>
          <t>Yes</t>
        </is>
      </c>
      <c r="O29" t="inlineStr">
        <is>
          <t>equal</t>
        </is>
      </c>
      <c r="P29" t="inlineStr">
        <is>
          <t>deposited</t>
        </is>
      </c>
      <c r="Q29" t="inlineStr"/>
      <c r="R29" t="inlineStr"/>
      <c r="S29">
        <f>HYPERLINK("https://helical-indexing-hi3d.streamlit.app/?emd_id=emd-17123&amp;rise=4.75&amp;twist=-0.92&amp;csym=1&amp;rise2=4.75&amp;twist2=-0.92&amp;csym2=1", "Link")</f>
        <v/>
      </c>
    </row>
    <row r="30">
      <c r="A30" t="inlineStr">
        <is>
          <t>EMD-14055</t>
        </is>
      </c>
      <c r="B30" t="inlineStr">
        <is>
          <t>amyloid</t>
        </is>
      </c>
      <c r="C30" t="n">
        <v>2.32</v>
      </c>
      <c r="D30" t="n">
        <v>4.78</v>
      </c>
      <c r="E30" t="n">
        <v>-1.01</v>
      </c>
      <c r="F30" t="inlineStr">
        <is>
          <t>C1</t>
        </is>
      </c>
      <c r="G30" t="inlineStr">
        <is>
          <t>4.78</t>
        </is>
      </c>
      <c r="H30" t="n">
        <v>-1.01</v>
      </c>
      <c r="I30" t="inlineStr">
        <is>
          <t>C1</t>
        </is>
      </c>
      <c r="J30" t="n">
        <v>0</v>
      </c>
      <c r="K30" t="inlineStr"/>
      <c r="L30" t="n">
        <v>0.94509</v>
      </c>
      <c r="M30" t="n">
        <v>0.94509</v>
      </c>
      <c r="N30" t="inlineStr">
        <is>
          <t>Yes</t>
        </is>
      </c>
      <c r="O30" t="inlineStr">
        <is>
          <t>equal</t>
        </is>
      </c>
      <c r="P30" t="inlineStr">
        <is>
          <t>deposited</t>
        </is>
      </c>
      <c r="Q30" t="inlineStr"/>
      <c r="R30" t="inlineStr"/>
      <c r="S30">
        <f>HYPERLINK("https://helical-indexing-hi3d.streamlit.app/?emd_id=emd-14055&amp;rise=4.78&amp;twist=-1.01&amp;csym=1&amp;rise2=4.78&amp;twist2=-1.01&amp;csym2=1", "Link")</f>
        <v/>
      </c>
    </row>
    <row r="31">
      <c r="A31" t="inlineStr">
        <is>
          <t>EMD-34392</t>
        </is>
      </c>
      <c r="B31" t="inlineStr">
        <is>
          <t>amyloid</t>
        </is>
      </c>
      <c r="C31" t="n">
        <v>2.35</v>
      </c>
      <c r="D31" t="n">
        <v>2.407</v>
      </c>
      <c r="E31" t="n">
        <v>179.539</v>
      </c>
      <c r="F31" t="inlineStr">
        <is>
          <t>C1</t>
        </is>
      </c>
      <c r="G31" t="inlineStr">
        <is>
          <t>2.407</t>
        </is>
      </c>
      <c r="H31" t="n">
        <v>179.539</v>
      </c>
      <c r="I31" t="inlineStr">
        <is>
          <t>C1</t>
        </is>
      </c>
      <c r="J31" t="n">
        <v>0</v>
      </c>
      <c r="K31" t="inlineStr"/>
      <c r="L31" t="n">
        <v>0.94119</v>
      </c>
      <c r="M31" t="n">
        <v>0.94119</v>
      </c>
      <c r="N31" t="inlineStr">
        <is>
          <t>Yes</t>
        </is>
      </c>
      <c r="O31" t="inlineStr">
        <is>
          <t>equal</t>
        </is>
      </c>
      <c r="P31" t="inlineStr">
        <is>
          <t>deposited</t>
        </is>
      </c>
      <c r="Q31" t="inlineStr"/>
      <c r="R31" t="inlineStr"/>
      <c r="S31">
        <f>HYPERLINK("https://helical-indexing-hi3d.streamlit.app/?emd_id=emd-34392&amp;rise=2.407&amp;twist=179.539&amp;csym=1&amp;rise2=2.407&amp;twist2=179.539&amp;csym2=1", "Link")</f>
        <v/>
      </c>
    </row>
    <row r="32">
      <c r="A32" t="inlineStr">
        <is>
          <t>EMD-17737</t>
        </is>
      </c>
      <c r="B32" t="inlineStr">
        <is>
          <t>amyloid</t>
        </is>
      </c>
      <c r="C32" t="n">
        <v>2.3673</v>
      </c>
      <c r="D32" t="n">
        <v>4.81</v>
      </c>
      <c r="E32" t="n">
        <v>-1.24</v>
      </c>
      <c r="F32" t="inlineStr">
        <is>
          <t>C1</t>
        </is>
      </c>
      <c r="G32" t="inlineStr">
        <is>
          <t>4.81</t>
        </is>
      </c>
      <c r="H32" t="n">
        <v>-1.24</v>
      </c>
      <c r="I32" t="inlineStr">
        <is>
          <t>C1</t>
        </is>
      </c>
      <c r="J32" t="n">
        <v>0</v>
      </c>
      <c r="K32" t="inlineStr"/>
      <c r="L32" t="n">
        <v>0.83131</v>
      </c>
      <c r="M32" t="n">
        <v>0.83131</v>
      </c>
      <c r="N32" t="inlineStr">
        <is>
          <t>Yes</t>
        </is>
      </c>
      <c r="O32" t="inlineStr">
        <is>
          <t>equal</t>
        </is>
      </c>
      <c r="P32" t="inlineStr">
        <is>
          <t>deposited</t>
        </is>
      </c>
      <c r="Q32" t="inlineStr"/>
      <c r="R32" t="inlineStr"/>
      <c r="S32">
        <f>HYPERLINK("https://helical-indexing-hi3d.streamlit.app/?emd_id=emd-17737&amp;rise=4.81&amp;twist=-1.24&amp;csym=1&amp;rise2=4.81&amp;twist2=-1.24&amp;csym2=1", "Link")</f>
        <v/>
      </c>
    </row>
    <row r="33">
      <c r="A33" t="inlineStr">
        <is>
          <t>EMD-16628</t>
        </is>
      </c>
      <c r="B33" t="inlineStr">
        <is>
          <t>amyloid</t>
        </is>
      </c>
      <c r="C33" t="n">
        <v>2.39</v>
      </c>
      <c r="D33" t="n">
        <v>4.996</v>
      </c>
      <c r="E33" t="n">
        <v>1.175</v>
      </c>
      <c r="F33" t="inlineStr">
        <is>
          <t>C1</t>
        </is>
      </c>
      <c r="G33" t="inlineStr">
        <is>
          <t>4.996</t>
        </is>
      </c>
      <c r="H33" t="n">
        <v>1.175</v>
      </c>
      <c r="I33" t="inlineStr">
        <is>
          <t>C1</t>
        </is>
      </c>
      <c r="J33" t="n">
        <v>0</v>
      </c>
      <c r="K33" t="inlineStr"/>
      <c r="L33" t="n">
        <v>0.9496599999999999</v>
      </c>
      <c r="M33" t="n">
        <v>0.9496599999999999</v>
      </c>
      <c r="N33" t="inlineStr">
        <is>
          <t>Yes</t>
        </is>
      </c>
      <c r="O33" t="inlineStr">
        <is>
          <t>equal</t>
        </is>
      </c>
      <c r="P33" t="inlineStr">
        <is>
          <t>deposited</t>
        </is>
      </c>
      <c r="Q33" t="inlineStr"/>
      <c r="R33" t="inlineStr"/>
      <c r="S33">
        <f>HYPERLINK("https://helical-indexing-hi3d.streamlit.app/?emd_id=emd-16628&amp;rise=4.996&amp;twist=1.175&amp;csym=1&amp;rise2=4.996&amp;twist2=1.175&amp;csym2=1", "Link")</f>
        <v/>
      </c>
    </row>
    <row r="34">
      <c r="A34" t="inlineStr">
        <is>
          <t>EMD-18508</t>
        </is>
      </c>
      <c r="B34" t="inlineStr">
        <is>
          <t>amyloid</t>
        </is>
      </c>
      <c r="C34" t="n">
        <v>2.4</v>
      </c>
      <c r="D34" t="n">
        <v>4.87</v>
      </c>
      <c r="E34" t="n">
        <v>-0.78</v>
      </c>
      <c r="F34" t="inlineStr">
        <is>
          <t>C2</t>
        </is>
      </c>
      <c r="G34" t="inlineStr">
        <is>
          <t>4.876</t>
        </is>
      </c>
      <c r="H34" t="n">
        <v>0.788</v>
      </c>
      <c r="I34" t="inlineStr">
        <is>
          <t>C2</t>
        </is>
      </c>
      <c r="J34" t="n">
        <v>0.7375738355482737</v>
      </c>
      <c r="K34" t="inlineStr"/>
      <c r="L34" t="n">
        <v>0.20424</v>
      </c>
      <c r="M34" t="n">
        <v>0.96492</v>
      </c>
      <c r="N34" t="inlineStr">
        <is>
          <t>Yes</t>
        </is>
      </c>
      <c r="O34" t="inlineStr">
        <is>
          <t>improve</t>
        </is>
      </c>
      <c r="P34" t="inlineStr">
        <is>
          <t>twist sign</t>
        </is>
      </c>
      <c r="Q34" t="inlineStr"/>
      <c r="R34" t="inlineStr"/>
      <c r="S34">
        <f>HYPERLINK("https://helical-indexing-hi3d.streamlit.app/?emd_id=emd-18508&amp;rise=4.876&amp;twist=0.788&amp;csym=2&amp;rise2=4.87&amp;twist2=-0.78&amp;csym2=2", "Link")</f>
        <v/>
      </c>
    </row>
    <row r="35">
      <c r="A35" t="inlineStr">
        <is>
          <t>EMD-17105</t>
        </is>
      </c>
      <c r="B35" t="inlineStr">
        <is>
          <t>amyloid</t>
        </is>
      </c>
      <c r="C35" t="n">
        <v>2.4</v>
      </c>
      <c r="D35" t="n">
        <v>2.39</v>
      </c>
      <c r="E35" t="n">
        <v>179.603</v>
      </c>
      <c r="F35" t="inlineStr">
        <is>
          <t>C1</t>
        </is>
      </c>
      <c r="G35" t="inlineStr">
        <is>
          <t>2.4282398</t>
        </is>
      </c>
      <c r="H35" t="n">
        <v>179.603</v>
      </c>
      <c r="I35" t="inlineStr">
        <is>
          <t>C1</t>
        </is>
      </c>
      <c r="J35" t="n">
        <v>0.0382397999999999</v>
      </c>
      <c r="K35" t="inlineStr">
        <is>
          <t> </t>
        </is>
      </c>
      <c r="L35" t="inlineStr"/>
      <c r="M35" t="inlineStr"/>
      <c r="N35" t="inlineStr">
        <is>
          <t>Excluded</t>
        </is>
      </c>
      <c r="O35" t="inlineStr">
        <is>
          <t>equal</t>
        </is>
      </c>
      <c r="P35" t="inlineStr">
        <is>
          <t>z-shifted</t>
        </is>
      </c>
      <c r="Q35" t="inlineStr"/>
      <c r="R35" t="inlineStr"/>
      <c r="S35">
        <f>HYPERLINK("https://helical-indexing-hi3d.streamlit.app/?emd_id=emd-17105&amp;rise=2.4282398&amp;twist=179.603&amp;csym=1&amp;rise2=2.39&amp;twist2=179.603&amp;csym2=1", "Link")</f>
        <v/>
      </c>
    </row>
    <row r="36">
      <c r="A36" t="inlineStr">
        <is>
          <t>EMD-14030</t>
        </is>
      </c>
      <c r="B36" t="inlineStr">
        <is>
          <t>amyloid</t>
        </is>
      </c>
      <c r="C36" t="n">
        <v>2.44</v>
      </c>
      <c r="D36" t="n">
        <v>4.74</v>
      </c>
      <c r="E36" t="n">
        <v>-1.49</v>
      </c>
      <c r="F36" t="inlineStr">
        <is>
          <t>C1</t>
        </is>
      </c>
      <c r="G36" t="inlineStr">
        <is>
          <t>4.74</t>
        </is>
      </c>
      <c r="H36" t="n">
        <v>-1.49</v>
      </c>
      <c r="I36" t="inlineStr">
        <is>
          <t>C1</t>
        </is>
      </c>
      <c r="J36" t="n">
        <v>0</v>
      </c>
      <c r="K36" t="inlineStr"/>
      <c r="L36" t="n">
        <v>0.9432199999999999</v>
      </c>
      <c r="M36" t="n">
        <v>0.9432199999999999</v>
      </c>
      <c r="N36" t="inlineStr">
        <is>
          <t>Yes</t>
        </is>
      </c>
      <c r="O36" t="inlineStr">
        <is>
          <t>equal</t>
        </is>
      </c>
      <c r="P36" t="inlineStr">
        <is>
          <t>deposited</t>
        </is>
      </c>
      <c r="Q36" t="inlineStr"/>
      <c r="R36" t="inlineStr"/>
      <c r="S36">
        <f>HYPERLINK("https://helical-indexing-hi3d.streamlit.app/?emd_id=emd-14030&amp;rise=4.74&amp;twist=-1.49&amp;csym=1&amp;rise2=4.74&amp;twist2=-1.49&amp;csym2=1", "Link")</f>
        <v/>
      </c>
    </row>
    <row r="37">
      <c r="A37" t="inlineStr">
        <is>
          <t>EMD-13225</t>
        </is>
      </c>
      <c r="B37" t="inlineStr">
        <is>
          <t>amyloid</t>
        </is>
      </c>
      <c r="C37" t="n">
        <v>2.5</v>
      </c>
      <c r="D37" t="n">
        <v>2.39</v>
      </c>
      <c r="E37" t="n">
        <v>179.82</v>
      </c>
      <c r="F37" t="inlineStr">
        <is>
          <t>C1</t>
        </is>
      </c>
      <c r="G37" t="inlineStr">
        <is>
          <t>2.39</t>
        </is>
      </c>
      <c r="H37" t="n">
        <v>179.82</v>
      </c>
      <c r="I37" t="inlineStr">
        <is>
          <t>C1</t>
        </is>
      </c>
      <c r="J37" t="n">
        <v>0</v>
      </c>
      <c r="K37" t="inlineStr"/>
      <c r="L37" t="n">
        <v>0.9671</v>
      </c>
      <c r="M37" t="n">
        <v>0.9671</v>
      </c>
      <c r="N37" t="inlineStr">
        <is>
          <t>Yes</t>
        </is>
      </c>
      <c r="O37" t="inlineStr">
        <is>
          <t>equal</t>
        </is>
      </c>
      <c r="P37" t="inlineStr">
        <is>
          <t>deposited</t>
        </is>
      </c>
      <c r="Q37" t="inlineStr"/>
      <c r="R37" t="inlineStr"/>
      <c r="S37">
        <f>HYPERLINK("https://helical-indexing-hi3d.streamlit.app/?emd_id=emd-13225&amp;rise=2.39&amp;twist=179.82&amp;csym=1&amp;rise2=2.39&amp;twist2=179.82&amp;csym2=1", "Link")</f>
        <v/>
      </c>
    </row>
    <row r="38">
      <c r="A38" t="inlineStr">
        <is>
          <t>EMD-17122</t>
        </is>
      </c>
      <c r="B38" t="inlineStr">
        <is>
          <t>amyloid</t>
        </is>
      </c>
      <c r="C38" t="n">
        <v>2.5</v>
      </c>
      <c r="D38" t="n">
        <v>4.75</v>
      </c>
      <c r="E38" t="n">
        <v>-0.84</v>
      </c>
      <c r="F38" t="inlineStr">
        <is>
          <t>C1</t>
        </is>
      </c>
      <c r="G38" t="inlineStr">
        <is>
          <t>4.75</t>
        </is>
      </c>
      <c r="H38" t="n">
        <v>-0.84</v>
      </c>
      <c r="I38" t="inlineStr">
        <is>
          <t>C1</t>
        </is>
      </c>
      <c r="J38" t="n">
        <v>0</v>
      </c>
      <c r="K38" t="inlineStr"/>
      <c r="L38" t="n">
        <v>0.93976</v>
      </c>
      <c r="M38" t="n">
        <v>0.93976</v>
      </c>
      <c r="N38" t="inlineStr">
        <is>
          <t>Yes</t>
        </is>
      </c>
      <c r="O38" t="inlineStr">
        <is>
          <t>equal</t>
        </is>
      </c>
      <c r="P38" t="inlineStr">
        <is>
          <t>deposited</t>
        </is>
      </c>
      <c r="Q38" t="inlineStr"/>
      <c r="R38" t="inlineStr"/>
      <c r="S38">
        <f>HYPERLINK("https://helical-indexing-hi3d.streamlit.app/?emd_id=emd-17122&amp;rise=4.75&amp;twist=-0.84&amp;csym=1&amp;rise2=4.75&amp;twist2=-0.84&amp;csym2=1", "Link")</f>
        <v/>
      </c>
    </row>
    <row r="39">
      <c r="A39" t="inlineStr">
        <is>
          <t>EMD-20759</t>
        </is>
      </c>
      <c r="B39" t="inlineStr">
        <is>
          <t>amyloid</t>
        </is>
      </c>
      <c r="C39" t="n">
        <v>2.5</v>
      </c>
      <c r="D39" t="n">
        <v>4.85</v>
      </c>
      <c r="E39" t="n">
        <v>178.92</v>
      </c>
      <c r="F39" t="inlineStr">
        <is>
          <t>C2</t>
        </is>
      </c>
      <c r="G39" t="inlineStr">
        <is>
          <t>4.85</t>
        </is>
      </c>
      <c r="H39" t="n">
        <v>178.92</v>
      </c>
      <c r="I39" t="inlineStr">
        <is>
          <t>C2</t>
        </is>
      </c>
      <c r="J39" t="n">
        <v>0</v>
      </c>
      <c r="K39" t="inlineStr">
        <is>
          <t>z -&gt; x</t>
        </is>
      </c>
      <c r="L39" t="n">
        <v>0.96888</v>
      </c>
      <c r="M39" t="n">
        <v>0.96888</v>
      </c>
      <c r="N39" t="inlineStr">
        <is>
          <t>Yes</t>
        </is>
      </c>
      <c r="O39" t="inlineStr">
        <is>
          <t>equal</t>
        </is>
      </c>
      <c r="P39" t="inlineStr">
        <is>
          <t>deposited</t>
        </is>
      </c>
      <c r="Q39" t="inlineStr"/>
      <c r="R39" t="inlineStr"/>
      <c r="S39">
        <f>HYPERLINK("https://helical-indexing-hi3d.streamlit.app/?emd_id=emd-20759&amp;rise=4.85&amp;twist=178.92&amp;csym=2&amp;rise2=4.85&amp;twist2=178.92&amp;csym2=2", "Link")</f>
        <v/>
      </c>
    </row>
    <row r="40">
      <c r="A40" t="inlineStr">
        <is>
          <t>EMD-33999</t>
        </is>
      </c>
      <c r="B40" t="inlineStr">
        <is>
          <t>amyloid</t>
        </is>
      </c>
      <c r="C40" t="n">
        <v>2.5</v>
      </c>
      <c r="D40" t="n">
        <v>4.82</v>
      </c>
      <c r="E40" t="n">
        <v>179.43</v>
      </c>
      <c r="F40" t="inlineStr">
        <is>
          <t>C1</t>
        </is>
      </c>
      <c r="G40" t="inlineStr">
        <is>
          <t>2.41</t>
        </is>
      </c>
      <c r="H40" t="n">
        <v>179.43</v>
      </c>
      <c r="I40" t="inlineStr">
        <is>
          <t>C1</t>
        </is>
      </c>
      <c r="J40" t="n">
        <v>2.41</v>
      </c>
      <c r="K40" t="inlineStr"/>
      <c r="L40" t="n">
        <v>0.90242</v>
      </c>
      <c r="M40" t="n">
        <v>0.93086</v>
      </c>
      <c r="N40" t="inlineStr">
        <is>
          <t>Yes</t>
        </is>
      </c>
      <c r="O40" t="inlineStr">
        <is>
          <t>improve</t>
        </is>
      </c>
      <c r="P40" t="inlineStr">
        <is>
          <t>different</t>
        </is>
      </c>
      <c r="Q40" t="inlineStr"/>
      <c r="R40" t="inlineStr"/>
      <c r="S40">
        <f>HYPERLINK("https://helical-indexing-hi3d.streamlit.app/?emd_id=emd-33999&amp;rise=2.41&amp;twist=179.43&amp;csym=1&amp;rise2=4.82&amp;twist2=179.43&amp;csym2=1", "Link")</f>
        <v/>
      </c>
    </row>
    <row r="41">
      <c r="A41" t="inlineStr">
        <is>
          <t>EMD-14738</t>
        </is>
      </c>
      <c r="B41" t="inlineStr">
        <is>
          <t>amyloid</t>
        </is>
      </c>
      <c r="C41" t="n">
        <v>2.5</v>
      </c>
      <c r="D41" t="n">
        <v>4.8</v>
      </c>
      <c r="E41" t="n">
        <v>-4.8</v>
      </c>
      <c r="F41" t="inlineStr">
        <is>
          <t>C1</t>
        </is>
      </c>
      <c r="G41" t="inlineStr">
        <is>
          <t>4.8</t>
        </is>
      </c>
      <c r="H41" t="n">
        <v>-4.8</v>
      </c>
      <c r="I41" t="inlineStr">
        <is>
          <t>C1</t>
        </is>
      </c>
      <c r="J41" t="n">
        <v>0</v>
      </c>
      <c r="K41" t="inlineStr"/>
      <c r="L41" t="n">
        <v>0.87185</v>
      </c>
      <c r="M41" t="n">
        <v>0.87185</v>
      </c>
      <c r="N41" t="inlineStr">
        <is>
          <t>Yes</t>
        </is>
      </c>
      <c r="O41" t="inlineStr">
        <is>
          <t>equal</t>
        </is>
      </c>
      <c r="P41" t="inlineStr">
        <is>
          <t>deposited</t>
        </is>
      </c>
      <c r="Q41" t="inlineStr"/>
      <c r="R41" t="inlineStr"/>
      <c r="S41">
        <f>HYPERLINK("https://helical-indexing-hi3d.streamlit.app/?emd_id=emd-14738&amp;rise=4.8&amp;twist=-4.8&amp;csym=1&amp;rise2=4.8&amp;twist2=-4.8&amp;csym2=1", "Link")</f>
        <v/>
      </c>
    </row>
    <row r="42">
      <c r="A42" t="inlineStr">
        <is>
          <t>EMD-16642</t>
        </is>
      </c>
      <c r="B42" t="inlineStr">
        <is>
          <t>amyloid</t>
        </is>
      </c>
      <c r="C42" t="n">
        <v>2.5</v>
      </c>
      <c r="D42" t="n">
        <v>4.996</v>
      </c>
      <c r="E42" t="n">
        <v>1.229</v>
      </c>
      <c r="F42" t="inlineStr">
        <is>
          <t>C1</t>
        </is>
      </c>
      <c r="G42" t="inlineStr">
        <is>
          <t>4.996</t>
        </is>
      </c>
      <c r="H42" t="n">
        <v>1.229</v>
      </c>
      <c r="I42" t="inlineStr">
        <is>
          <t>C1</t>
        </is>
      </c>
      <c r="J42" t="n">
        <v>0</v>
      </c>
      <c r="K42" t="inlineStr"/>
      <c r="L42" t="n">
        <v>0.94995</v>
      </c>
      <c r="M42" t="n">
        <v>0.94995</v>
      </c>
      <c r="N42" t="inlineStr">
        <is>
          <t>Yes</t>
        </is>
      </c>
      <c r="O42" t="inlineStr">
        <is>
          <t>equal</t>
        </is>
      </c>
      <c r="P42" t="inlineStr">
        <is>
          <t>deposited</t>
        </is>
      </c>
      <c r="Q42" t="inlineStr"/>
      <c r="R42" t="inlineStr"/>
      <c r="S42">
        <f>HYPERLINK("https://helical-indexing-hi3d.streamlit.app/?emd_id=emd-16642&amp;rise=4.996&amp;twist=1.229&amp;csym=1&amp;rise2=4.996&amp;twist2=1.229&amp;csym2=1", "Link")</f>
        <v/>
      </c>
    </row>
    <row r="43">
      <c r="A43" t="inlineStr">
        <is>
          <t>EMD-17121</t>
        </is>
      </c>
      <c r="B43" t="inlineStr">
        <is>
          <t>amyloid</t>
        </is>
      </c>
      <c r="C43" t="n">
        <v>2.5</v>
      </c>
      <c r="D43" t="n">
        <v>4.75</v>
      </c>
      <c r="E43" t="n">
        <v>-1.48</v>
      </c>
      <c r="F43" t="inlineStr">
        <is>
          <t>C1</t>
        </is>
      </c>
      <c r="G43" t="inlineStr">
        <is>
          <t>4.75</t>
        </is>
      </c>
      <c r="H43" t="n">
        <v>-1.48</v>
      </c>
      <c r="I43" t="inlineStr">
        <is>
          <t>C1</t>
        </is>
      </c>
      <c r="J43" t="n">
        <v>0</v>
      </c>
      <c r="K43" t="inlineStr"/>
      <c r="L43" t="n">
        <v>0.9446</v>
      </c>
      <c r="M43" t="n">
        <v>0.9446</v>
      </c>
      <c r="N43" t="inlineStr">
        <is>
          <t>Yes</t>
        </is>
      </c>
      <c r="O43" t="inlineStr">
        <is>
          <t>equal</t>
        </is>
      </c>
      <c r="P43" t="inlineStr">
        <is>
          <t>deposited</t>
        </is>
      </c>
      <c r="Q43" t="inlineStr"/>
      <c r="R43" t="inlineStr"/>
      <c r="S43">
        <f>HYPERLINK("https://helical-indexing-hi3d.streamlit.app/?emd_id=emd-17121&amp;rise=4.75&amp;twist=-1.48&amp;csym=1&amp;rise2=4.75&amp;twist2=-1.48&amp;csym2=1", "Link")</f>
        <v/>
      </c>
    </row>
    <row r="44">
      <c r="A44" t="inlineStr">
        <is>
          <t>EMD-13800</t>
        </is>
      </c>
      <c r="B44" t="inlineStr">
        <is>
          <t>amyloid</t>
        </is>
      </c>
      <c r="C44" t="n">
        <v>2.5</v>
      </c>
      <c r="D44" t="n">
        <v>2.4</v>
      </c>
      <c r="E44" t="n">
        <v>178.4</v>
      </c>
      <c r="F44" t="inlineStr">
        <is>
          <t>C1</t>
        </is>
      </c>
      <c r="G44" t="inlineStr">
        <is>
          <t>2.4</t>
        </is>
      </c>
      <c r="H44" t="n">
        <v>178.4</v>
      </c>
      <c r="I44" t="inlineStr">
        <is>
          <t>C1</t>
        </is>
      </c>
      <c r="J44" t="n">
        <v>0</v>
      </c>
      <c r="K44" t="inlineStr"/>
      <c r="L44" t="n">
        <v>0.91854</v>
      </c>
      <c r="M44" t="n">
        <v>0.91854</v>
      </c>
      <c r="N44" t="inlineStr">
        <is>
          <t>Yes</t>
        </is>
      </c>
      <c r="O44" t="inlineStr">
        <is>
          <t>equal</t>
        </is>
      </c>
      <c r="P44" t="inlineStr">
        <is>
          <t>deposited</t>
        </is>
      </c>
      <c r="Q44" t="inlineStr"/>
      <c r="R44" t="inlineStr"/>
      <c r="S44">
        <f>HYPERLINK("https://helical-indexing-hi3d.streamlit.app/?emd_id=emd-13800&amp;rise=2.4&amp;twist=178.4&amp;csym=1&amp;rise2=2.4&amp;twist2=178.4&amp;csym2=1", "Link")</f>
        <v/>
      </c>
    </row>
    <row r="45">
      <c r="A45" t="inlineStr">
        <is>
          <t>EMD-18227</t>
        </is>
      </c>
      <c r="B45" t="inlineStr">
        <is>
          <t>amyloid</t>
        </is>
      </c>
      <c r="C45" t="n">
        <v>2.54</v>
      </c>
      <c r="D45" t="n">
        <v>4.8</v>
      </c>
      <c r="E45" t="n">
        <v>-2.15</v>
      </c>
      <c r="F45" t="inlineStr">
        <is>
          <t>C1</t>
        </is>
      </c>
      <c r="G45" t="inlineStr">
        <is>
          <t>4.8</t>
        </is>
      </c>
      <c r="H45" t="n">
        <v>-2.15</v>
      </c>
      <c r="I45" t="inlineStr">
        <is>
          <t>C1</t>
        </is>
      </c>
      <c r="J45" t="n">
        <v>0</v>
      </c>
      <c r="K45" t="inlineStr"/>
      <c r="L45" t="n">
        <v>0.8655</v>
      </c>
      <c r="M45" t="n">
        <v>0.8655</v>
      </c>
      <c r="N45" t="inlineStr">
        <is>
          <t>Yes</t>
        </is>
      </c>
      <c r="O45" t="inlineStr">
        <is>
          <t>equal</t>
        </is>
      </c>
      <c r="P45" t="inlineStr">
        <is>
          <t>deposited</t>
        </is>
      </c>
      <c r="Q45" t="inlineStr"/>
      <c r="R45" t="inlineStr"/>
      <c r="S45">
        <f>HYPERLINK("https://helical-indexing-hi3d.streamlit.app/?emd_id=emd-18227&amp;rise=4.8&amp;twist=-2.15&amp;csym=1&amp;rise2=4.8&amp;twist2=-2.15&amp;csym2=1", "Link")</f>
        <v/>
      </c>
    </row>
    <row r="46">
      <c r="A46" t="inlineStr">
        <is>
          <t>EMD-18264</t>
        </is>
      </c>
      <c r="B46" t="inlineStr">
        <is>
          <t>amyloid</t>
        </is>
      </c>
      <c r="C46" t="n">
        <v>2.54</v>
      </c>
      <c r="D46" t="n">
        <v>4.74</v>
      </c>
      <c r="E46" t="n">
        <v>-1.08</v>
      </c>
      <c r="F46" t="inlineStr">
        <is>
          <t>C1</t>
        </is>
      </c>
      <c r="G46" t="inlineStr">
        <is>
          <t>4.74</t>
        </is>
      </c>
      <c r="H46" t="n">
        <v>-1.08</v>
      </c>
      <c r="I46" t="inlineStr">
        <is>
          <t>C1</t>
        </is>
      </c>
      <c r="J46" t="n">
        <v>0</v>
      </c>
      <c r="K46" t="inlineStr"/>
      <c r="L46" t="n">
        <v>0.96329</v>
      </c>
      <c r="M46" t="n">
        <v>0.96329</v>
      </c>
      <c r="N46" t="inlineStr">
        <is>
          <t>Yes</t>
        </is>
      </c>
      <c r="O46" t="inlineStr">
        <is>
          <t>equal</t>
        </is>
      </c>
      <c r="P46" t="inlineStr">
        <is>
          <t>deposited</t>
        </is>
      </c>
      <c r="Q46" t="inlineStr"/>
      <c r="R46" t="inlineStr"/>
      <c r="S46">
        <f>HYPERLINK("https://helical-indexing-hi3d.streamlit.app/?emd_id=emd-18264&amp;rise=4.74&amp;twist=-1.08&amp;csym=1&amp;rise2=4.74&amp;twist2=-1.08&amp;csym2=1", "Link")</f>
        <v/>
      </c>
    </row>
    <row r="47">
      <c r="A47" t="inlineStr">
        <is>
          <t>EMD-14771</t>
        </is>
      </c>
      <c r="B47" t="inlineStr">
        <is>
          <t>amyloid</t>
        </is>
      </c>
      <c r="C47" t="n">
        <v>2.56</v>
      </c>
      <c r="D47" t="n">
        <v>4.75</v>
      </c>
      <c r="E47" t="n">
        <v>-1.63</v>
      </c>
      <c r="F47" t="inlineStr">
        <is>
          <t>C1</t>
        </is>
      </c>
      <c r="G47" t="inlineStr">
        <is>
          <t>4.75</t>
        </is>
      </c>
      <c r="H47" t="n">
        <v>-1.63</v>
      </c>
      <c r="I47" t="inlineStr">
        <is>
          <t>C1</t>
        </is>
      </c>
      <c r="J47" t="n">
        <v>0</v>
      </c>
      <c r="K47" t="inlineStr"/>
      <c r="L47" t="n">
        <v>0.94875</v>
      </c>
      <c r="M47" t="n">
        <v>0.94875</v>
      </c>
      <c r="N47" t="inlineStr">
        <is>
          <t>Yes</t>
        </is>
      </c>
      <c r="O47" t="inlineStr">
        <is>
          <t>equal</t>
        </is>
      </c>
      <c r="P47" t="inlineStr">
        <is>
          <t>deposited</t>
        </is>
      </c>
      <c r="Q47" t="inlineStr"/>
      <c r="R47" t="inlineStr"/>
      <c r="S47">
        <f>HYPERLINK("https://helical-indexing-hi3d.streamlit.app/?emd_id=emd-14771&amp;rise=4.75&amp;twist=-1.63&amp;csym=1&amp;rise2=4.75&amp;twist2=-1.63&amp;csym2=1", "Link")</f>
        <v/>
      </c>
    </row>
    <row r="48">
      <c r="A48" t="inlineStr">
        <is>
          <t>EMD-18282</t>
        </is>
      </c>
      <c r="B48" t="inlineStr">
        <is>
          <t>amyloid</t>
        </is>
      </c>
      <c r="C48" t="n">
        <v>2.56</v>
      </c>
      <c r="D48" t="n">
        <v>4.76</v>
      </c>
      <c r="E48" t="n">
        <v>-1.48</v>
      </c>
      <c r="F48" t="inlineStr">
        <is>
          <t>C1</t>
        </is>
      </c>
      <c r="G48" t="inlineStr">
        <is>
          <t>4.76</t>
        </is>
      </c>
      <c r="H48" t="n">
        <v>-1.48</v>
      </c>
      <c r="I48" t="inlineStr">
        <is>
          <t>C1</t>
        </is>
      </c>
      <c r="J48" t="n">
        <v>0</v>
      </c>
      <c r="K48" t="inlineStr"/>
      <c r="L48" t="n">
        <v>0.95862</v>
      </c>
      <c r="M48" t="n">
        <v>0.95862</v>
      </c>
      <c r="N48" t="inlineStr">
        <is>
          <t>Yes</t>
        </is>
      </c>
      <c r="O48" t="inlineStr">
        <is>
          <t>equal</t>
        </is>
      </c>
      <c r="P48" t="inlineStr">
        <is>
          <t>deposited</t>
        </is>
      </c>
      <c r="Q48" t="inlineStr"/>
      <c r="R48" t="inlineStr"/>
      <c r="S48">
        <f>HYPERLINK("https://helical-indexing-hi3d.streamlit.app/?emd_id=emd-18282&amp;rise=4.76&amp;twist=-1.48&amp;csym=1&amp;rise2=4.76&amp;twist2=-1.48&amp;csym2=1", "Link")</f>
        <v/>
      </c>
    </row>
    <row r="49">
      <c r="A49" t="inlineStr">
        <is>
          <t>EMD-14053</t>
        </is>
      </c>
      <c r="B49" t="inlineStr">
        <is>
          <t>amyloid</t>
        </is>
      </c>
      <c r="C49" t="n">
        <v>2.57</v>
      </c>
      <c r="D49" t="n">
        <v>4.75</v>
      </c>
      <c r="E49" t="n">
        <v>-1.25</v>
      </c>
      <c r="F49" t="inlineStr">
        <is>
          <t>C1</t>
        </is>
      </c>
      <c r="G49" t="inlineStr">
        <is>
          <t>4.75</t>
        </is>
      </c>
      <c r="H49" t="n">
        <v>-1.25</v>
      </c>
      <c r="I49" t="inlineStr">
        <is>
          <t>C1</t>
        </is>
      </c>
      <c r="J49" t="n">
        <v>0</v>
      </c>
      <c r="K49" t="inlineStr"/>
      <c r="L49" t="n">
        <v>0.9617599999999999</v>
      </c>
      <c r="M49" t="n">
        <v>0.9617599999999999</v>
      </c>
      <c r="N49" t="inlineStr">
        <is>
          <t>Yes</t>
        </is>
      </c>
      <c r="O49" t="inlineStr">
        <is>
          <t>equal</t>
        </is>
      </c>
      <c r="P49" t="inlineStr">
        <is>
          <t>deposited</t>
        </is>
      </c>
      <c r="Q49" t="inlineStr"/>
      <c r="R49" t="inlineStr"/>
      <c r="S49">
        <f>HYPERLINK("https://helical-indexing-hi3d.streamlit.app/?emd_id=emd-14053&amp;rise=4.75&amp;twist=-1.25&amp;csym=1&amp;rise2=4.75&amp;twist2=-1.25&amp;csym2=1", "Link")</f>
        <v/>
      </c>
    </row>
    <row r="50">
      <c r="A50" t="inlineStr">
        <is>
          <t>EMD-17166</t>
        </is>
      </c>
      <c r="B50" t="inlineStr">
        <is>
          <t>amyloid</t>
        </is>
      </c>
      <c r="C50" t="n">
        <v>2.59</v>
      </c>
      <c r="D50" t="n">
        <v>4.763</v>
      </c>
      <c r="E50" t="n">
        <v>-0.782</v>
      </c>
      <c r="F50" t="inlineStr">
        <is>
          <t>C2</t>
        </is>
      </c>
      <c r="G50" t="inlineStr">
        <is>
          <t>4.763</t>
        </is>
      </c>
      <c r="H50" t="n">
        <v>-0.782</v>
      </c>
      <c r="I50" t="inlineStr">
        <is>
          <t>C2</t>
        </is>
      </c>
      <c r="J50" t="n">
        <v>0</v>
      </c>
      <c r="K50" t="inlineStr"/>
      <c r="L50" t="n">
        <v>0.83827</v>
      </c>
      <c r="M50" t="n">
        <v>0.83827</v>
      </c>
      <c r="N50" t="inlineStr">
        <is>
          <t>Yes</t>
        </is>
      </c>
      <c r="O50" t="inlineStr">
        <is>
          <t>equal</t>
        </is>
      </c>
      <c r="P50" t="inlineStr">
        <is>
          <t>deposited</t>
        </is>
      </c>
      <c r="Q50" t="inlineStr"/>
      <c r="R50" t="inlineStr"/>
      <c r="S50">
        <f>HYPERLINK("https://helical-indexing-hi3d.streamlit.app/?emd_id=emd-17166&amp;rise=4.763&amp;twist=-0.782&amp;csym=2&amp;rise2=4.763&amp;twist2=-0.782&amp;csym2=2", "Link")</f>
        <v/>
      </c>
    </row>
    <row r="51">
      <c r="A51" t="inlineStr">
        <is>
          <t>EMD-13708</t>
        </is>
      </c>
      <c r="B51" t="inlineStr">
        <is>
          <t>amyloid</t>
        </is>
      </c>
      <c r="C51" t="n">
        <v>2.59</v>
      </c>
      <c r="D51" t="n">
        <v>4.842</v>
      </c>
      <c r="E51" t="n">
        <v>1.422</v>
      </c>
      <c r="F51" t="inlineStr">
        <is>
          <t>C1</t>
        </is>
      </c>
      <c r="G51" t="inlineStr">
        <is>
          <t>4.842</t>
        </is>
      </c>
      <c r="H51" t="n">
        <v>1.422</v>
      </c>
      <c r="I51" t="inlineStr">
        <is>
          <t>C1</t>
        </is>
      </c>
      <c r="J51" t="n">
        <v>0</v>
      </c>
      <c r="K51" t="inlineStr"/>
      <c r="L51" t="n">
        <v>0.9484</v>
      </c>
      <c r="M51" t="n">
        <v>0.9484</v>
      </c>
      <c r="N51" t="inlineStr">
        <is>
          <t>Yes</t>
        </is>
      </c>
      <c r="O51" t="inlineStr">
        <is>
          <t>equal</t>
        </is>
      </c>
      <c r="P51" t="inlineStr">
        <is>
          <t>deposited</t>
        </is>
      </c>
      <c r="Q51" t="inlineStr"/>
      <c r="R51" t="inlineStr"/>
      <c r="S51">
        <f>HYPERLINK("https://helical-indexing-hi3d.streamlit.app/?emd_id=emd-13708&amp;rise=4.842&amp;twist=1.422&amp;csym=1&amp;rise2=4.842&amp;twist2=1.422&amp;csym2=1", "Link")</f>
        <v/>
      </c>
    </row>
    <row r="52">
      <c r="A52" t="inlineStr">
        <is>
          <t>EMD-41198</t>
        </is>
      </c>
      <c r="B52" t="inlineStr">
        <is>
          <t>amyloid</t>
        </is>
      </c>
      <c r="C52" t="n">
        <v>2.59</v>
      </c>
      <c r="D52" t="n">
        <v>2.39</v>
      </c>
      <c r="E52" t="n">
        <v>179.02</v>
      </c>
      <c r="F52" t="inlineStr">
        <is>
          <t>C1</t>
        </is>
      </c>
      <c r="G52" t="inlineStr">
        <is>
          <t>2.39</t>
        </is>
      </c>
      <c r="H52" t="n">
        <v>179.02</v>
      </c>
      <c r="I52" t="inlineStr">
        <is>
          <t>C1</t>
        </is>
      </c>
      <c r="J52" t="n">
        <v>0</v>
      </c>
      <c r="K52" t="inlineStr">
        <is>
          <t>z -&gt; x</t>
        </is>
      </c>
      <c r="L52" t="n">
        <v>0.88326</v>
      </c>
      <c r="M52" t="n">
        <v>0.88326</v>
      </c>
      <c r="N52" t="inlineStr">
        <is>
          <t>Yes</t>
        </is>
      </c>
      <c r="O52" t="inlineStr">
        <is>
          <t>equal</t>
        </is>
      </c>
      <c r="P52" t="inlineStr">
        <is>
          <t>deposited</t>
        </is>
      </c>
      <c r="Q52" t="inlineStr"/>
      <c r="R52" t="inlineStr"/>
      <c r="S52">
        <f>HYPERLINK("https://helical-indexing-hi3d.streamlit.app/?emd_id=emd-41198&amp;rise=2.39&amp;twist=179.02&amp;csym=1&amp;rise2=2.39&amp;twist2=179.02&amp;csym2=1", "Link")</f>
        <v/>
      </c>
    </row>
    <row r="53">
      <c r="A53" t="inlineStr">
        <is>
          <t>EMD-14320</t>
        </is>
      </c>
      <c r="B53" t="inlineStr">
        <is>
          <t>amyloid</t>
        </is>
      </c>
      <c r="C53" t="n">
        <v>2.59</v>
      </c>
      <c r="D53" t="n">
        <v>4.77</v>
      </c>
      <c r="E53" t="n">
        <v>-0.88</v>
      </c>
      <c r="F53" t="inlineStr">
        <is>
          <t>C1</t>
        </is>
      </c>
      <c r="G53" t="inlineStr">
        <is>
          <t>4.77</t>
        </is>
      </c>
      <c r="H53" t="n">
        <v>-0.88</v>
      </c>
      <c r="I53" t="inlineStr">
        <is>
          <t>C1</t>
        </is>
      </c>
      <c r="J53" t="n">
        <v>0</v>
      </c>
      <c r="K53" t="inlineStr"/>
      <c r="L53" t="n">
        <v>0.9656400000000001</v>
      </c>
      <c r="M53" t="n">
        <v>0.9656400000000001</v>
      </c>
      <c r="N53" t="inlineStr">
        <is>
          <t>Yes</t>
        </is>
      </c>
      <c r="O53" t="inlineStr">
        <is>
          <t>equal</t>
        </is>
      </c>
      <c r="P53" t="inlineStr">
        <is>
          <t>deposited</t>
        </is>
      </c>
      <c r="Q53" t="inlineStr"/>
      <c r="R53" t="inlineStr"/>
      <c r="S53">
        <f>HYPERLINK("https://helical-indexing-hi3d.streamlit.app/?emd_id=emd-14320&amp;rise=4.77&amp;twist=-0.88&amp;csym=1&amp;rise2=4.77&amp;twist2=-0.88&amp;csym2=1", "Link")</f>
        <v/>
      </c>
    </row>
    <row r="54">
      <c r="A54" t="inlineStr">
        <is>
          <t>EMD-15043</t>
        </is>
      </c>
      <c r="B54" t="inlineStr">
        <is>
          <t>amyloid</t>
        </is>
      </c>
      <c r="C54" t="n">
        <v>2.6</v>
      </c>
      <c r="D54" t="n">
        <v>4.8</v>
      </c>
      <c r="E54" t="n">
        <v>-0.54</v>
      </c>
      <c r="F54" t="inlineStr">
        <is>
          <t>C1</t>
        </is>
      </c>
      <c r="G54" t="inlineStr">
        <is>
          <t>4.8</t>
        </is>
      </c>
      <c r="H54" t="n">
        <v>-0.54</v>
      </c>
      <c r="I54" t="inlineStr">
        <is>
          <t>C1</t>
        </is>
      </c>
      <c r="J54" t="n">
        <v>0</v>
      </c>
      <c r="K54" t="inlineStr"/>
      <c r="L54" t="n">
        <v>0.8022</v>
      </c>
      <c r="M54" t="n">
        <v>0.8022</v>
      </c>
      <c r="N54" t="inlineStr">
        <is>
          <t>Yes</t>
        </is>
      </c>
      <c r="O54" t="inlineStr">
        <is>
          <t>equal</t>
        </is>
      </c>
      <c r="P54" t="inlineStr">
        <is>
          <t>deposited</t>
        </is>
      </c>
      <c r="Q54" t="inlineStr"/>
      <c r="R54" t="inlineStr"/>
      <c r="S54">
        <f>HYPERLINK("https://helical-indexing-hi3d.streamlit.app/?emd_id=emd-15043&amp;rise=4.8&amp;twist=-0.54&amp;csym=1&amp;rise2=4.8&amp;twist2=-0.54&amp;csym2=1", "Link")</f>
        <v/>
      </c>
    </row>
    <row r="55">
      <c r="A55" t="inlineStr">
        <is>
          <t>EMD-16329</t>
        </is>
      </c>
      <c r="B55" t="inlineStr">
        <is>
          <t>amyloid</t>
        </is>
      </c>
      <c r="C55" t="n">
        <v>2.6</v>
      </c>
      <c r="D55" t="n">
        <v>2.37</v>
      </c>
      <c r="E55" t="n">
        <v>179.43</v>
      </c>
      <c r="F55" t="inlineStr">
        <is>
          <t>C1</t>
        </is>
      </c>
      <c r="G55" t="inlineStr">
        <is>
          <t>2.37</t>
        </is>
      </c>
      <c r="H55" t="n">
        <v>179.43</v>
      </c>
      <c r="I55" t="inlineStr">
        <is>
          <t>C1</t>
        </is>
      </c>
      <c r="J55" t="n">
        <v>0</v>
      </c>
      <c r="K55" t="inlineStr"/>
      <c r="L55" t="n">
        <v>0.9594</v>
      </c>
      <c r="M55" t="n">
        <v>0.9594</v>
      </c>
      <c r="N55" t="inlineStr">
        <is>
          <t>Yes</t>
        </is>
      </c>
      <c r="O55" t="inlineStr">
        <is>
          <t>equal</t>
        </is>
      </c>
      <c r="P55" t="inlineStr">
        <is>
          <t>deposited</t>
        </is>
      </c>
      <c r="Q55" t="inlineStr"/>
      <c r="R55" t="inlineStr"/>
      <c r="S55">
        <f>HYPERLINK("https://helical-indexing-hi3d.streamlit.app/?emd_id=emd-16329&amp;rise=2.37&amp;twist=179.43&amp;csym=1&amp;rise2=2.37&amp;twist2=179.43&amp;csym2=1", "Link")</f>
        <v/>
      </c>
    </row>
    <row r="56">
      <c r="A56" t="inlineStr">
        <is>
          <t>EMD-33965</t>
        </is>
      </c>
      <c r="B56" t="inlineStr">
        <is>
          <t>amyloid</t>
        </is>
      </c>
      <c r="C56" t="n">
        <v>2.6</v>
      </c>
      <c r="D56" t="n">
        <v>4.81</v>
      </c>
      <c r="E56" t="n">
        <v>179.32</v>
      </c>
      <c r="F56" t="inlineStr">
        <is>
          <t>C1</t>
        </is>
      </c>
      <c r="G56" t="inlineStr">
        <is>
          <t>4.81</t>
        </is>
      </c>
      <c r="H56" t="n">
        <v>179.32</v>
      </c>
      <c r="I56" t="inlineStr">
        <is>
          <t>C1</t>
        </is>
      </c>
      <c r="J56" t="n">
        <v>0</v>
      </c>
      <c r="K56" t="inlineStr"/>
      <c r="L56" t="n">
        <v>0.94534</v>
      </c>
      <c r="M56" t="n">
        <v>0.94534</v>
      </c>
      <c r="N56" t="inlineStr">
        <is>
          <t>Yes</t>
        </is>
      </c>
      <c r="O56" t="inlineStr">
        <is>
          <t>equal</t>
        </is>
      </c>
      <c r="P56" t="inlineStr">
        <is>
          <t>deposited</t>
        </is>
      </c>
      <c r="Q56" t="inlineStr"/>
      <c r="R56" t="inlineStr"/>
      <c r="S56">
        <f>HYPERLINK("https://helical-indexing-hi3d.streamlit.app/?emd_id=emd-33965&amp;rise=4.81&amp;twist=179.32&amp;csym=1&amp;rise2=4.81&amp;twist2=179.32&amp;csym2=1", "Link")</f>
        <v/>
      </c>
    </row>
    <row r="57">
      <c r="A57" t="inlineStr">
        <is>
          <t>EMD-10650</t>
        </is>
      </c>
      <c r="B57" t="inlineStr">
        <is>
          <t>amyloid</t>
        </is>
      </c>
      <c r="C57" t="n">
        <v>2.6</v>
      </c>
      <c r="D57" t="n">
        <v>4.72</v>
      </c>
      <c r="E57" t="n">
        <v>-1.44</v>
      </c>
      <c r="F57" t="inlineStr">
        <is>
          <t>C1</t>
        </is>
      </c>
      <c r="G57" t="inlineStr">
        <is>
          <t>4.72</t>
        </is>
      </c>
      <c r="H57" t="n">
        <v>-1.44</v>
      </c>
      <c r="I57" t="inlineStr">
        <is>
          <t>C1</t>
        </is>
      </c>
      <c r="J57" t="n">
        <v>0</v>
      </c>
      <c r="K57" t="inlineStr"/>
      <c r="L57" t="n">
        <v>0.96929</v>
      </c>
      <c r="M57" t="n">
        <v>0.96929</v>
      </c>
      <c r="N57" t="inlineStr">
        <is>
          <t>Yes</t>
        </is>
      </c>
      <c r="O57" t="inlineStr">
        <is>
          <t>equal</t>
        </is>
      </c>
      <c r="P57" t="inlineStr">
        <is>
          <t>deposited</t>
        </is>
      </c>
      <c r="Q57" t="inlineStr"/>
      <c r="R57" t="inlineStr"/>
      <c r="S57">
        <f>HYPERLINK("https://helical-indexing-hi3d.streamlit.app/?emd_id=emd-10650&amp;rise=4.72&amp;twist=-1.44&amp;csym=1&amp;rise2=4.72&amp;twist2=-1.44&amp;csym2=1", "Link")</f>
        <v/>
      </c>
    </row>
    <row r="58">
      <c r="A58" t="inlineStr">
        <is>
          <t>EMD-33335</t>
        </is>
      </c>
      <c r="B58" t="inlineStr">
        <is>
          <t>amyloid</t>
        </is>
      </c>
      <c r="C58" t="n">
        <v>2.6</v>
      </c>
      <c r="D58" t="n">
        <v>2.41</v>
      </c>
      <c r="E58" t="n">
        <v>179.43</v>
      </c>
      <c r="F58" t="inlineStr">
        <is>
          <t>C1</t>
        </is>
      </c>
      <c r="G58" t="inlineStr">
        <is>
          <t>2.41</t>
        </is>
      </c>
      <c r="H58" t="n">
        <v>179.43</v>
      </c>
      <c r="I58" t="inlineStr">
        <is>
          <t>C1</t>
        </is>
      </c>
      <c r="J58" t="n">
        <v>0</v>
      </c>
      <c r="K58" t="inlineStr"/>
      <c r="L58" t="n">
        <v>0.94511</v>
      </c>
      <c r="M58" t="n">
        <v>0.94511</v>
      </c>
      <c r="N58" t="inlineStr">
        <is>
          <t>Yes</t>
        </is>
      </c>
      <c r="O58" t="inlineStr">
        <is>
          <t>equal</t>
        </is>
      </c>
      <c r="P58" t="inlineStr">
        <is>
          <t>deposited</t>
        </is>
      </c>
      <c r="Q58" t="inlineStr"/>
      <c r="R58" t="inlineStr"/>
      <c r="S58">
        <f>HYPERLINK("https://helical-indexing-hi3d.streamlit.app/?emd_id=emd-33335&amp;rise=2.41&amp;twist=179.43&amp;csym=1&amp;rise2=2.41&amp;twist2=179.43&amp;csym2=1", "Link")</f>
        <v/>
      </c>
    </row>
    <row r="59">
      <c r="A59" t="inlineStr">
        <is>
          <t>EMD-21316</t>
        </is>
      </c>
      <c r="B59" t="inlineStr">
        <is>
          <t>amyloid</t>
        </is>
      </c>
      <c r="C59" t="n">
        <v>2.6</v>
      </c>
      <c r="D59" t="n">
        <v>4.75</v>
      </c>
      <c r="E59" t="n">
        <v>-1.55</v>
      </c>
      <c r="F59" t="inlineStr">
        <is>
          <t>C3</t>
        </is>
      </c>
      <c r="G59" t="inlineStr">
        <is>
          <t>4.75</t>
        </is>
      </c>
      <c r="H59" t="n">
        <v>-1.55</v>
      </c>
      <c r="I59" t="inlineStr">
        <is>
          <t>C3</t>
        </is>
      </c>
      <c r="J59" t="n">
        <v>0</v>
      </c>
      <c r="K59" t="inlineStr"/>
      <c r="L59" t="n">
        <v>0.9466</v>
      </c>
      <c r="M59" t="n">
        <v>0.9466</v>
      </c>
      <c r="N59" t="inlineStr">
        <is>
          <t>Yes</t>
        </is>
      </c>
      <c r="O59" t="inlineStr">
        <is>
          <t>equal</t>
        </is>
      </c>
      <c r="P59" t="inlineStr">
        <is>
          <t>deposited</t>
        </is>
      </c>
      <c r="Q59" t="inlineStr"/>
      <c r="R59" t="inlineStr"/>
      <c r="S59">
        <f>HYPERLINK("https://helical-indexing-hi3d.streamlit.app/?emd_id=emd-21316&amp;rise=4.75&amp;twist=-1.55&amp;csym=3&amp;rise2=4.75&amp;twist2=-1.55&amp;csym2=3", "Link")</f>
        <v/>
      </c>
    </row>
    <row r="60">
      <c r="A60" t="inlineStr">
        <is>
          <t>EMD-32615</t>
        </is>
      </c>
      <c r="B60" t="inlineStr">
        <is>
          <t>amyloid</t>
        </is>
      </c>
      <c r="C60" t="n">
        <v>2.6</v>
      </c>
      <c r="D60" t="n">
        <v>2.41</v>
      </c>
      <c r="E60" t="n">
        <v>179.62</v>
      </c>
      <c r="F60" t="inlineStr">
        <is>
          <t>C1</t>
        </is>
      </c>
      <c r="G60" t="inlineStr">
        <is>
          <t>2.41</t>
        </is>
      </c>
      <c r="H60" t="n">
        <v>179.62</v>
      </c>
      <c r="I60" t="inlineStr">
        <is>
          <t>C1</t>
        </is>
      </c>
      <c r="J60" t="n">
        <v>0</v>
      </c>
      <c r="K60" t="inlineStr"/>
      <c r="L60" t="n">
        <v>0.93775</v>
      </c>
      <c r="M60" t="n">
        <v>0.93775</v>
      </c>
      <c r="N60" t="inlineStr">
        <is>
          <t>Yes</t>
        </is>
      </c>
      <c r="O60" t="inlineStr">
        <is>
          <t>equal</t>
        </is>
      </c>
      <c r="P60" t="inlineStr">
        <is>
          <t>deposited</t>
        </is>
      </c>
      <c r="Q60" t="inlineStr"/>
      <c r="R60" t="inlineStr"/>
      <c r="S60">
        <f>HYPERLINK("https://helical-indexing-hi3d.streamlit.app/?emd_id=emd-32615&amp;rise=2.41&amp;twist=179.62&amp;csym=1&amp;rise2=2.41&amp;twist2=179.62&amp;csym2=1", "Link")</f>
        <v/>
      </c>
    </row>
    <row r="61">
      <c r="A61" t="inlineStr">
        <is>
          <t>EMD-16876</t>
        </is>
      </c>
      <c r="B61" t="inlineStr">
        <is>
          <t>amyloid</t>
        </is>
      </c>
      <c r="C61" t="n">
        <v>2.6</v>
      </c>
      <c r="D61" t="n">
        <v>4.86</v>
      </c>
      <c r="E61" t="n">
        <v>-0.68</v>
      </c>
      <c r="F61" t="inlineStr">
        <is>
          <t>C1</t>
        </is>
      </c>
      <c r="G61" t="inlineStr">
        <is>
          <t>4.86</t>
        </is>
      </c>
      <c r="H61" t="n">
        <v>-0.68</v>
      </c>
      <c r="I61" t="inlineStr">
        <is>
          <t>C1</t>
        </is>
      </c>
      <c r="J61" t="n">
        <v>0</v>
      </c>
      <c r="K61" t="inlineStr"/>
      <c r="L61" t="n">
        <v>0.95112</v>
      </c>
      <c r="M61" t="n">
        <v>0.95112</v>
      </c>
      <c r="N61" t="inlineStr">
        <is>
          <t>Yes</t>
        </is>
      </c>
      <c r="O61" t="inlineStr">
        <is>
          <t>equal</t>
        </is>
      </c>
      <c r="P61" t="inlineStr">
        <is>
          <t>deposited</t>
        </is>
      </c>
      <c r="Q61" t="inlineStr"/>
      <c r="R61" t="inlineStr"/>
      <c r="S61">
        <f>HYPERLINK("https://helical-indexing-hi3d.streamlit.app/?emd_id=emd-16876&amp;rise=4.86&amp;twist=-0.68&amp;csym=1&amp;rise2=4.86&amp;twist2=-0.68&amp;csym2=1", "Link")</f>
        <v/>
      </c>
    </row>
    <row r="62">
      <c r="A62" t="inlineStr">
        <is>
          <t>EMD-29348</t>
        </is>
      </c>
      <c r="B62" t="inlineStr">
        <is>
          <t>amyloid</t>
        </is>
      </c>
      <c r="C62" t="n">
        <v>2.6</v>
      </c>
      <c r="D62" t="n">
        <v>2.11</v>
      </c>
      <c r="E62" t="n">
        <v>-54.79</v>
      </c>
      <c r="F62" t="inlineStr">
        <is>
          <t>C3</t>
        </is>
      </c>
      <c r="G62" t="inlineStr">
        <is>
          <t>2.11</t>
        </is>
      </c>
      <c r="H62" t="n">
        <v>-54.79</v>
      </c>
      <c r="I62" t="inlineStr">
        <is>
          <t>C3</t>
        </is>
      </c>
      <c r="J62" t="n">
        <v>0</v>
      </c>
      <c r="K62" t="inlineStr"/>
      <c r="L62" t="n">
        <v>0.87658</v>
      </c>
      <c r="M62" t="n">
        <v>0.87658</v>
      </c>
      <c r="N62" t="inlineStr">
        <is>
          <t>Yes</t>
        </is>
      </c>
      <c r="O62" t="inlineStr">
        <is>
          <t>equal</t>
        </is>
      </c>
      <c r="P62" t="inlineStr">
        <is>
          <t>deposited</t>
        </is>
      </c>
      <c r="Q62" t="inlineStr"/>
      <c r="R62" t="inlineStr"/>
      <c r="S62">
        <f>HYPERLINK("https://helical-indexing-hi3d.streamlit.app/?emd_id=emd-29348&amp;rise=2.11&amp;twist=-54.79&amp;csym=3&amp;rise2=2.11&amp;twist2=-54.79&amp;csym2=3", "Link")</f>
        <v/>
      </c>
    </row>
    <row r="63">
      <c r="A63" t="inlineStr">
        <is>
          <t>EMD-17104</t>
        </is>
      </c>
      <c r="B63" t="inlineStr">
        <is>
          <t>amyloid</t>
        </is>
      </c>
      <c r="C63" t="n">
        <v>2.6</v>
      </c>
      <c r="D63" t="n">
        <v>2.38</v>
      </c>
      <c r="E63" t="n">
        <v>179.71</v>
      </c>
      <c r="F63" t="inlineStr">
        <is>
          <t>C1</t>
        </is>
      </c>
      <c r="G63" t="inlineStr">
        <is>
          <t>2.39904</t>
        </is>
      </c>
      <c r="H63" t="n">
        <v>179.71</v>
      </c>
      <c r="I63" t="inlineStr">
        <is>
          <t>C1</t>
        </is>
      </c>
      <c r="J63" t="n">
        <v>0.0190399999999999</v>
      </c>
      <c r="K63" t="inlineStr"/>
      <c r="L63" t="n">
        <v>0.67408</v>
      </c>
      <c r="M63" t="n">
        <v>0.67555</v>
      </c>
      <c r="N63" t="inlineStr">
        <is>
          <t>No</t>
        </is>
      </c>
      <c r="O63" t="inlineStr">
        <is>
          <t>improve</t>
        </is>
      </c>
      <c r="P63" t="inlineStr">
        <is>
          <t>adjusted decimals</t>
        </is>
      </c>
      <c r="Q63" t="inlineStr"/>
      <c r="R63" t="inlineStr"/>
      <c r="S63">
        <f>HYPERLINK("https://helical-indexing-hi3d.streamlit.app/?emd_id=emd-17104&amp;rise=2.39904&amp;twist=179.71&amp;csym=1&amp;rise2=2.38&amp;twist2=179.71&amp;csym2=1", "Link")</f>
        <v/>
      </c>
    </row>
    <row r="64">
      <c r="A64" t="inlineStr">
        <is>
          <t>EMD-17383</t>
        </is>
      </c>
      <c r="B64" t="inlineStr">
        <is>
          <t>amyloid</t>
        </is>
      </c>
      <c r="C64" t="n">
        <v>2.61</v>
      </c>
      <c r="D64" t="n">
        <v>4.89</v>
      </c>
      <c r="E64" t="n">
        <v>-0.73</v>
      </c>
      <c r="F64" t="inlineStr">
        <is>
          <t>C1</t>
        </is>
      </c>
      <c r="G64" t="inlineStr">
        <is>
          <t>4.89</t>
        </is>
      </c>
      <c r="H64" t="n">
        <v>-0.73</v>
      </c>
      <c r="I64" t="inlineStr">
        <is>
          <t>C1</t>
        </is>
      </c>
      <c r="J64" t="n">
        <v>0</v>
      </c>
      <c r="K64" t="inlineStr"/>
      <c r="L64" t="n">
        <v>0.96134</v>
      </c>
      <c r="M64" t="n">
        <v>0.96134</v>
      </c>
      <c r="N64" t="inlineStr">
        <is>
          <t>Yes</t>
        </is>
      </c>
      <c r="O64" t="inlineStr">
        <is>
          <t>equal</t>
        </is>
      </c>
      <c r="P64" t="inlineStr">
        <is>
          <t>deposited</t>
        </is>
      </c>
      <c r="Q64" t="inlineStr"/>
      <c r="R64" t="inlineStr"/>
      <c r="S64">
        <f>HYPERLINK("https://helical-indexing-hi3d.streamlit.app/?emd_id=emd-17383&amp;rise=4.89&amp;twist=-0.73&amp;csym=1&amp;rise2=4.89&amp;twist2=-0.73&amp;csym2=1", "Link")</f>
        <v/>
      </c>
    </row>
    <row r="65">
      <c r="A65" t="inlineStr">
        <is>
          <t>EMD-14029</t>
        </is>
      </c>
      <c r="B65" t="inlineStr">
        <is>
          <t>amyloid</t>
        </is>
      </c>
      <c r="C65" t="n">
        <v>2.61</v>
      </c>
      <c r="D65" t="n">
        <v>4.74</v>
      </c>
      <c r="E65" t="n">
        <v>-1.37</v>
      </c>
      <c r="F65" t="inlineStr">
        <is>
          <t>C1</t>
        </is>
      </c>
      <c r="G65" t="inlineStr">
        <is>
          <t>4.74</t>
        </is>
      </c>
      <c r="H65" t="n">
        <v>-1.37</v>
      </c>
      <c r="I65" t="inlineStr">
        <is>
          <t>C1</t>
        </is>
      </c>
      <c r="J65" t="n">
        <v>0</v>
      </c>
      <c r="K65" t="inlineStr"/>
      <c r="L65" t="n">
        <v>0.94873</v>
      </c>
      <c r="M65" t="n">
        <v>0.94873</v>
      </c>
      <c r="N65" t="inlineStr">
        <is>
          <t>Yes</t>
        </is>
      </c>
      <c r="O65" t="inlineStr">
        <is>
          <t>equal</t>
        </is>
      </c>
      <c r="P65" t="inlineStr">
        <is>
          <t>deposited</t>
        </is>
      </c>
      <c r="Q65" t="inlineStr"/>
      <c r="R65" t="inlineStr"/>
      <c r="S65">
        <f>HYPERLINK("https://helical-indexing-hi3d.streamlit.app/?emd_id=emd-14029&amp;rise=4.74&amp;twist=-1.37&amp;csym=1&amp;rise2=4.74&amp;twist2=-1.37&amp;csym2=1", "Link")</f>
        <v/>
      </c>
    </row>
    <row r="66">
      <c r="A66" t="inlineStr">
        <is>
          <t>EMD-34393</t>
        </is>
      </c>
      <c r="B66" t="inlineStr">
        <is>
          <t>amyloid</t>
        </is>
      </c>
      <c r="C66" t="n">
        <v>2.62</v>
      </c>
      <c r="D66" t="n">
        <v>2.404</v>
      </c>
      <c r="E66" t="n">
        <v>179.548</v>
      </c>
      <c r="F66" t="inlineStr">
        <is>
          <t>C1</t>
        </is>
      </c>
      <c r="G66" t="inlineStr">
        <is>
          <t>2.404</t>
        </is>
      </c>
      <c r="H66" t="n">
        <v>179.548</v>
      </c>
      <c r="I66" t="inlineStr">
        <is>
          <t>C1</t>
        </is>
      </c>
      <c r="J66" t="n">
        <v>0</v>
      </c>
      <c r="K66" t="inlineStr"/>
      <c r="L66" t="n">
        <v>0.9484900000000001</v>
      </c>
      <c r="M66" t="n">
        <v>0.9484900000000001</v>
      </c>
      <c r="N66" t="inlineStr">
        <is>
          <t>Yes</t>
        </is>
      </c>
      <c r="O66" t="inlineStr">
        <is>
          <t>equal</t>
        </is>
      </c>
      <c r="P66" t="inlineStr">
        <is>
          <t>deposited</t>
        </is>
      </c>
      <c r="Q66" t="inlineStr"/>
      <c r="R66" t="inlineStr"/>
      <c r="S66">
        <f>HYPERLINK("https://helical-indexing-hi3d.streamlit.app/?emd_id=emd-34393&amp;rise=2.404&amp;twist=179.548&amp;csym=1&amp;rise2=2.404&amp;twist2=179.548&amp;csym2=1", "Link")</f>
        <v/>
      </c>
    </row>
    <row r="67">
      <c r="A67" t="inlineStr">
        <is>
          <t>EMD-14174</t>
        </is>
      </c>
      <c r="B67" t="inlineStr">
        <is>
          <t>amyloid</t>
        </is>
      </c>
      <c r="C67" t="n">
        <v>2.64</v>
      </c>
      <c r="D67" t="n">
        <v>4.81</v>
      </c>
      <c r="E67" t="n">
        <v>-0.42</v>
      </c>
      <c r="F67" t="inlineStr">
        <is>
          <t>C1</t>
        </is>
      </c>
      <c r="G67" t="inlineStr">
        <is>
          <t>4.81</t>
        </is>
      </c>
      <c r="H67" t="n">
        <v>-0.42</v>
      </c>
      <c r="I67" t="inlineStr">
        <is>
          <t>C1</t>
        </is>
      </c>
      <c r="J67" t="n">
        <v>0</v>
      </c>
      <c r="K67" t="inlineStr"/>
      <c r="L67" t="n">
        <v>0.96743</v>
      </c>
      <c r="M67" t="n">
        <v>0.96743</v>
      </c>
      <c r="N67" t="inlineStr">
        <is>
          <t>Yes</t>
        </is>
      </c>
      <c r="O67" t="inlineStr">
        <is>
          <t>equal</t>
        </is>
      </c>
      <c r="P67" t="inlineStr">
        <is>
          <t>deposited</t>
        </is>
      </c>
      <c r="Q67" t="inlineStr"/>
      <c r="R67" t="inlineStr"/>
      <c r="S67">
        <f>HYPERLINK("https://helical-indexing-hi3d.streamlit.app/?emd_id=emd-14174&amp;rise=4.81&amp;twist=-0.42&amp;csym=1&amp;rise2=4.81&amp;twist2=-0.42&amp;csym2=1", "Link")</f>
        <v/>
      </c>
    </row>
    <row r="68">
      <c r="A68" t="inlineStr">
        <is>
          <t>EMD-18286</t>
        </is>
      </c>
      <c r="B68" t="inlineStr">
        <is>
          <t>amyloid</t>
        </is>
      </c>
      <c r="C68" t="n">
        <v>2.65</v>
      </c>
      <c r="D68" t="n">
        <v>2.376</v>
      </c>
      <c r="E68" t="n">
        <v>179.43</v>
      </c>
      <c r="F68" t="inlineStr">
        <is>
          <t>C1</t>
        </is>
      </c>
      <c r="G68" t="inlineStr">
        <is>
          <t>2.376</t>
        </is>
      </c>
      <c r="H68" t="n">
        <v>179.43</v>
      </c>
      <c r="I68" t="inlineStr">
        <is>
          <t>C1</t>
        </is>
      </c>
      <c r="J68" t="n">
        <v>0</v>
      </c>
      <c r="K68" t="inlineStr"/>
      <c r="L68" t="n">
        <v>0.95988</v>
      </c>
      <c r="M68" t="n">
        <v>0.95988</v>
      </c>
      <c r="N68" t="inlineStr">
        <is>
          <t>Yes</t>
        </is>
      </c>
      <c r="O68" t="inlineStr">
        <is>
          <t>equal</t>
        </is>
      </c>
      <c r="P68" t="inlineStr">
        <is>
          <t>deposited</t>
        </is>
      </c>
      <c r="Q68" t="inlineStr"/>
      <c r="R68" t="inlineStr"/>
      <c r="S68">
        <f>HYPERLINK("https://helical-indexing-hi3d.streamlit.app/?emd_id=emd-18286&amp;rise=2.376&amp;twist=179.43&amp;csym=1&amp;rise2=2.376&amp;twist2=179.43&amp;csym2=1", "Link")</f>
        <v/>
      </c>
    </row>
    <row r="69">
      <c r="A69" t="inlineStr">
        <is>
          <t>EMD-18280</t>
        </is>
      </c>
      <c r="B69" t="inlineStr">
        <is>
          <t>amyloid</t>
        </is>
      </c>
      <c r="C69" t="n">
        <v>2.65</v>
      </c>
      <c r="D69" t="n">
        <v>4.76</v>
      </c>
      <c r="E69" t="n">
        <v>-1.2</v>
      </c>
      <c r="F69" t="inlineStr">
        <is>
          <t>C1</t>
        </is>
      </c>
      <c r="G69" t="inlineStr">
        <is>
          <t>4.76</t>
        </is>
      </c>
      <c r="H69" t="n">
        <v>-1.2</v>
      </c>
      <c r="I69" t="inlineStr">
        <is>
          <t>C1</t>
        </is>
      </c>
      <c r="J69" t="n">
        <v>0</v>
      </c>
      <c r="K69" t="inlineStr"/>
      <c r="L69" t="n">
        <v>0.96605</v>
      </c>
      <c r="M69" t="n">
        <v>0.96605</v>
      </c>
      <c r="N69" t="inlineStr">
        <is>
          <t>Yes</t>
        </is>
      </c>
      <c r="O69" t="inlineStr">
        <is>
          <t>equal</t>
        </is>
      </c>
      <c r="P69" t="inlineStr">
        <is>
          <t>deposited</t>
        </is>
      </c>
      <c r="Q69" t="inlineStr"/>
      <c r="R69" t="inlineStr"/>
      <c r="S69">
        <f>HYPERLINK("https://helical-indexing-hi3d.streamlit.app/?emd_id=emd-18280&amp;rise=4.76&amp;twist=-1.2&amp;csym=1&amp;rise2=4.76&amp;twist2=-1.2&amp;csym2=1", "Link")</f>
        <v/>
      </c>
    </row>
    <row r="70">
      <c r="A70" t="inlineStr">
        <is>
          <t>EMD-14058</t>
        </is>
      </c>
      <c r="B70" t="inlineStr">
        <is>
          <t>amyloid</t>
        </is>
      </c>
      <c r="C70" t="n">
        <v>2.65</v>
      </c>
      <c r="D70" t="n">
        <v>4.7</v>
      </c>
      <c r="E70" t="n">
        <v>-0.75</v>
      </c>
      <c r="F70" t="inlineStr">
        <is>
          <t>C3</t>
        </is>
      </c>
      <c r="G70" t="inlineStr">
        <is>
          <t>4.7</t>
        </is>
      </c>
      <c r="H70" t="n">
        <v>0.75</v>
      </c>
      <c r="I70" t="inlineStr">
        <is>
          <t>C3</t>
        </is>
      </c>
      <c r="J70" t="n">
        <v>0.4949164843862671</v>
      </c>
      <c r="K70" t="inlineStr"/>
      <c r="L70" t="n">
        <v>0.39024</v>
      </c>
      <c r="M70" t="n">
        <v>0.94065</v>
      </c>
      <c r="N70" t="inlineStr">
        <is>
          <t>Yes</t>
        </is>
      </c>
      <c r="O70" t="inlineStr">
        <is>
          <t>improve</t>
        </is>
      </c>
      <c r="P70" t="inlineStr">
        <is>
          <t>twist sign</t>
        </is>
      </c>
      <c r="Q70" t="inlineStr"/>
      <c r="R70" t="inlineStr"/>
      <c r="S70">
        <f>HYPERLINK("https://helical-indexing-hi3d.streamlit.app/?emd_id=emd-14058&amp;rise=4.7&amp;twist=0.75&amp;csym=3&amp;rise2=4.7&amp;twist2=-0.75&amp;csym2=3", "Link")</f>
        <v/>
      </c>
    </row>
    <row r="71">
      <c r="A71" t="inlineStr">
        <is>
          <t>EMD-14047</t>
        </is>
      </c>
      <c r="B71" t="inlineStr">
        <is>
          <t>amyloid</t>
        </is>
      </c>
      <c r="C71" t="n">
        <v>2.66</v>
      </c>
      <c r="D71" t="n">
        <v>2.4</v>
      </c>
      <c r="E71" t="n">
        <v>179.59</v>
      </c>
      <c r="F71" t="inlineStr">
        <is>
          <t>C1</t>
        </is>
      </c>
      <c r="G71" t="inlineStr">
        <is>
          <t>2.4</t>
        </is>
      </c>
      <c r="H71" t="n">
        <v>179.59</v>
      </c>
      <c r="I71" t="inlineStr">
        <is>
          <t>C1</t>
        </is>
      </c>
      <c r="J71" t="n">
        <v>0</v>
      </c>
      <c r="K71" t="inlineStr"/>
      <c r="L71" t="n">
        <v>0.9667</v>
      </c>
      <c r="M71" t="n">
        <v>0.9667</v>
      </c>
      <c r="N71" t="inlineStr">
        <is>
          <t>Yes</t>
        </is>
      </c>
      <c r="O71" t="inlineStr">
        <is>
          <t>equal</t>
        </is>
      </c>
      <c r="P71" t="inlineStr">
        <is>
          <t>deposited</t>
        </is>
      </c>
      <c r="Q71" t="inlineStr"/>
      <c r="R71" t="inlineStr"/>
      <c r="S71">
        <f>HYPERLINK("https://helical-indexing-hi3d.streamlit.app/?emd_id=emd-14047&amp;rise=2.4&amp;twist=179.59&amp;csym=1&amp;rise2=2.4&amp;twist2=179.59&amp;csym2=1", "Link")</f>
        <v/>
      </c>
    </row>
    <row r="72">
      <c r="A72" t="inlineStr">
        <is>
          <t>EMD-16671</t>
        </is>
      </c>
      <c r="B72" t="inlineStr">
        <is>
          <t>amyloid</t>
        </is>
      </c>
      <c r="C72" t="n">
        <v>2.67</v>
      </c>
      <c r="D72" t="n">
        <v>4.71</v>
      </c>
      <c r="E72" t="n">
        <v>-1.19</v>
      </c>
      <c r="F72" t="inlineStr">
        <is>
          <t>C1</t>
        </is>
      </c>
      <c r="G72" t="inlineStr">
        <is>
          <t>4.69116</t>
        </is>
      </c>
      <c r="H72" t="n">
        <v>-1.1662</v>
      </c>
      <c r="I72" t="inlineStr">
        <is>
          <t>C1</t>
        </is>
      </c>
      <c r="J72" t="n">
        <v>0.0202664275124921</v>
      </c>
      <c r="K72" t="inlineStr">
        <is>
          <t> </t>
        </is>
      </c>
      <c r="L72" t="n">
        <v>0.7075</v>
      </c>
      <c r="M72" t="n">
        <v>0.70888</v>
      </c>
      <c r="N72" t="inlineStr">
        <is>
          <t>No</t>
        </is>
      </c>
      <c r="O72" t="inlineStr">
        <is>
          <t>improve</t>
        </is>
      </c>
      <c r="P72" t="inlineStr">
        <is>
          <t>adjusted decimals</t>
        </is>
      </c>
      <c r="Q72" t="inlineStr"/>
      <c r="R72" t="inlineStr"/>
      <c r="S72">
        <f>HYPERLINK("https://helical-indexing-hi3d.streamlit.app/?emd_id=emd-16671&amp;rise=4.69116&amp;twist=-1.1662&amp;csym=1&amp;rise2=4.71&amp;twist2=-1.19&amp;csym2=1", "Link")</f>
        <v/>
      </c>
    </row>
    <row r="73">
      <c r="A73" t="inlineStr">
        <is>
          <t>EMD-16643</t>
        </is>
      </c>
      <c r="B73" t="inlineStr">
        <is>
          <t>amyloid</t>
        </is>
      </c>
      <c r="C73" t="n">
        <v>2.68</v>
      </c>
      <c r="D73" t="n">
        <v>4.98</v>
      </c>
      <c r="E73" t="n">
        <v>1.248</v>
      </c>
      <c r="F73" t="inlineStr">
        <is>
          <t>C1</t>
        </is>
      </c>
      <c r="G73" t="inlineStr">
        <is>
          <t>4.98</t>
        </is>
      </c>
      <c r="H73" t="n">
        <v>1.248</v>
      </c>
      <c r="I73" t="inlineStr">
        <is>
          <t>C1</t>
        </is>
      </c>
      <c r="J73" t="n">
        <v>0</v>
      </c>
      <c r="K73" t="inlineStr"/>
      <c r="L73" t="n">
        <v>0.95481</v>
      </c>
      <c r="M73" t="n">
        <v>0.95481</v>
      </c>
      <c r="N73" t="inlineStr">
        <is>
          <t>Yes</t>
        </is>
      </c>
      <c r="O73" t="inlineStr">
        <is>
          <t>equal</t>
        </is>
      </c>
      <c r="P73" t="inlineStr">
        <is>
          <t>deposited</t>
        </is>
      </c>
      <c r="Q73" t="inlineStr"/>
      <c r="R73" t="inlineStr"/>
      <c r="S73">
        <f>HYPERLINK("https://helical-indexing-hi3d.streamlit.app/?emd_id=emd-16643&amp;rise=4.98&amp;twist=1.248&amp;csym=1&amp;rise2=4.98&amp;twist2=1.248&amp;csym2=1", "Link")</f>
        <v/>
      </c>
    </row>
    <row r="74">
      <c r="A74" t="inlineStr">
        <is>
          <t>EMD-18259</t>
        </is>
      </c>
      <c r="B74" t="inlineStr">
        <is>
          <t>amyloid</t>
        </is>
      </c>
      <c r="C74" t="n">
        <v>2.68</v>
      </c>
      <c r="D74" t="n">
        <v>4.75</v>
      </c>
      <c r="E74" t="n">
        <v>-0.86</v>
      </c>
      <c r="F74" t="inlineStr">
        <is>
          <t>C1</t>
        </is>
      </c>
      <c r="G74" t="inlineStr">
        <is>
          <t>4.75</t>
        </is>
      </c>
      <c r="H74" t="n">
        <v>-0.86</v>
      </c>
      <c r="I74" t="inlineStr">
        <is>
          <t>C1</t>
        </is>
      </c>
      <c r="J74" t="n">
        <v>0</v>
      </c>
      <c r="K74" t="inlineStr"/>
      <c r="L74" t="n">
        <v>0.78791</v>
      </c>
      <c r="M74" t="n">
        <v>0.78791</v>
      </c>
      <c r="N74" t="inlineStr">
        <is>
          <t>Yes</t>
        </is>
      </c>
      <c r="O74" t="inlineStr">
        <is>
          <t>equal</t>
        </is>
      </c>
      <c r="P74" t="inlineStr">
        <is>
          <t>deposited</t>
        </is>
      </c>
      <c r="Q74" t="inlineStr"/>
      <c r="R74" t="inlineStr"/>
      <c r="S74">
        <f>HYPERLINK("https://helical-indexing-hi3d.streamlit.app/?emd_id=emd-18259&amp;rise=4.75&amp;twist=-0.86&amp;csym=1&amp;rise2=4.75&amp;twist2=-0.86&amp;csym2=1", "Link")</f>
        <v/>
      </c>
    </row>
    <row r="75">
      <c r="A75" t="inlineStr">
        <is>
          <t>EMD-12550</t>
        </is>
      </c>
      <c r="B75" t="inlineStr">
        <is>
          <t>amyloid</t>
        </is>
      </c>
      <c r="C75" t="n">
        <v>2.68</v>
      </c>
      <c r="D75" t="n">
        <v>4.75</v>
      </c>
      <c r="E75" t="n">
        <v>-1.08</v>
      </c>
      <c r="F75" t="inlineStr">
        <is>
          <t>C1</t>
        </is>
      </c>
      <c r="G75" t="inlineStr">
        <is>
          <t>4.75</t>
        </is>
      </c>
      <c r="H75" t="n">
        <v>-1.08</v>
      </c>
      <c r="I75" t="inlineStr">
        <is>
          <t>C1</t>
        </is>
      </c>
      <c r="J75" t="n">
        <v>0</v>
      </c>
      <c r="K75" t="inlineStr"/>
      <c r="L75" t="n">
        <v>0.9713000000000001</v>
      </c>
      <c r="M75" t="n">
        <v>0.9713000000000001</v>
      </c>
      <c r="N75" t="inlineStr">
        <is>
          <t>Yes</t>
        </is>
      </c>
      <c r="O75" t="inlineStr">
        <is>
          <t>equal</t>
        </is>
      </c>
      <c r="P75" t="inlineStr">
        <is>
          <t>deposited</t>
        </is>
      </c>
      <c r="Q75" t="inlineStr"/>
      <c r="R75" t="inlineStr"/>
      <c r="S75">
        <f>HYPERLINK("https://helical-indexing-hi3d.streamlit.app/?emd_id=emd-12550&amp;rise=4.75&amp;twist=-1.08&amp;csym=1&amp;rise2=4.75&amp;twist2=-1.08&amp;csym2=1", "Link")</f>
        <v/>
      </c>
    </row>
    <row r="76">
      <c r="A76" t="inlineStr">
        <is>
          <t>EMD-15148</t>
        </is>
      </c>
      <c r="B76" t="inlineStr">
        <is>
          <t>amyloid</t>
        </is>
      </c>
      <c r="C76" t="n">
        <v>2.68</v>
      </c>
      <c r="D76" t="n">
        <v>4.68</v>
      </c>
      <c r="E76" t="n">
        <v>-0.75</v>
      </c>
      <c r="F76" t="inlineStr">
        <is>
          <t>C3</t>
        </is>
      </c>
      <c r="G76" t="inlineStr">
        <is>
          <t>4.68</t>
        </is>
      </c>
      <c r="H76" t="n">
        <v>-0.75</v>
      </c>
      <c r="I76" t="inlineStr">
        <is>
          <t>C3</t>
        </is>
      </c>
      <c r="J76" t="n">
        <v>0</v>
      </c>
      <c r="K76" t="inlineStr"/>
      <c r="L76" t="n">
        <v>0.9559800000000001</v>
      </c>
      <c r="M76" t="n">
        <v>0.9559800000000001</v>
      </c>
      <c r="N76" t="inlineStr">
        <is>
          <t>Yes</t>
        </is>
      </c>
      <c r="O76" t="inlineStr">
        <is>
          <t>equal</t>
        </is>
      </c>
      <c r="P76" t="inlineStr">
        <is>
          <t>deposited</t>
        </is>
      </c>
      <c r="Q76" t="inlineStr"/>
      <c r="R76" t="inlineStr"/>
      <c r="S76">
        <f>HYPERLINK("https://helical-indexing-hi3d.streamlit.app/?emd_id=emd-15148&amp;rise=4.68&amp;twist=-0.75&amp;csym=3&amp;rise2=4.68&amp;twist2=-0.75&amp;csym2=3", "Link")</f>
        <v/>
      </c>
    </row>
    <row r="77">
      <c r="A77" t="inlineStr">
        <is>
          <t>EMD-13089</t>
        </is>
      </c>
      <c r="B77" t="inlineStr">
        <is>
          <t>amyloid</t>
        </is>
      </c>
      <c r="C77" t="n">
        <v>2.69</v>
      </c>
      <c r="D77" t="n">
        <v>2.4</v>
      </c>
      <c r="E77" t="n">
        <v>179.425</v>
      </c>
      <c r="F77" t="inlineStr">
        <is>
          <t>C1</t>
        </is>
      </c>
      <c r="G77" t="inlineStr">
        <is>
          <t>2.4</t>
        </is>
      </c>
      <c r="H77" t="n">
        <v>179.425</v>
      </c>
      <c r="I77" t="inlineStr">
        <is>
          <t>C1</t>
        </is>
      </c>
      <c r="J77" t="n">
        <v>0</v>
      </c>
      <c r="K77" t="inlineStr"/>
      <c r="L77" t="n">
        <v>0.75617</v>
      </c>
      <c r="M77" t="n">
        <v>0.75617</v>
      </c>
      <c r="N77" t="inlineStr">
        <is>
          <t>Yes</t>
        </is>
      </c>
      <c r="O77" t="inlineStr">
        <is>
          <t>equal</t>
        </is>
      </c>
      <c r="P77" t="inlineStr">
        <is>
          <t>deposited</t>
        </is>
      </c>
      <c r="Q77" t="inlineStr"/>
      <c r="R77" t="inlineStr"/>
      <c r="S77">
        <f>HYPERLINK("https://helical-indexing-hi3d.streamlit.app/?emd_id=emd-13089&amp;rise=2.4&amp;twist=179.425&amp;csym=1&amp;rise2=2.4&amp;twist2=179.425&amp;csym2=1", "Link")</f>
        <v/>
      </c>
    </row>
    <row r="78">
      <c r="A78" t="inlineStr">
        <is>
          <t>EMD-26279</t>
        </is>
      </c>
      <c r="B78" t="inlineStr">
        <is>
          <t>amyloid</t>
        </is>
      </c>
      <c r="C78" t="n">
        <v>2.7</v>
      </c>
      <c r="D78" t="n">
        <v>4.8</v>
      </c>
      <c r="E78" t="n">
        <v>-0.4</v>
      </c>
      <c r="F78" t="inlineStr">
        <is>
          <t>C1</t>
        </is>
      </c>
      <c r="G78" t="inlineStr">
        <is>
          <t>4.8</t>
        </is>
      </c>
      <c r="H78" t="n">
        <v>-0.4</v>
      </c>
      <c r="I78" t="inlineStr">
        <is>
          <t>C1</t>
        </is>
      </c>
      <c r="J78" t="n">
        <v>0</v>
      </c>
      <c r="K78" t="inlineStr"/>
      <c r="L78" t="n">
        <v>0.94595</v>
      </c>
      <c r="M78" t="n">
        <v>0.94595</v>
      </c>
      <c r="N78" t="inlineStr">
        <is>
          <t>Yes</t>
        </is>
      </c>
      <c r="O78" t="inlineStr">
        <is>
          <t>equal</t>
        </is>
      </c>
      <c r="P78" t="inlineStr">
        <is>
          <t>deposited</t>
        </is>
      </c>
      <c r="Q78" t="inlineStr"/>
      <c r="R78" t="inlineStr"/>
      <c r="S78">
        <f>HYPERLINK("https://helical-indexing-hi3d.streamlit.app/?emd_id=emd-26279&amp;rise=4.8&amp;twist=-0.4&amp;csym=1&amp;rise2=4.8&amp;twist2=-0.4&amp;csym2=1", "Link")</f>
        <v/>
      </c>
    </row>
    <row r="79">
      <c r="A79" t="inlineStr">
        <is>
          <t>EMD-16883</t>
        </is>
      </c>
      <c r="B79" t="inlineStr">
        <is>
          <t>amyloid</t>
        </is>
      </c>
      <c r="C79" t="n">
        <v>2.7</v>
      </c>
      <c r="D79" t="n">
        <v>4.8</v>
      </c>
      <c r="E79" t="n">
        <v>-1.05</v>
      </c>
      <c r="F79" t="inlineStr">
        <is>
          <t>C1</t>
        </is>
      </c>
      <c r="G79" t="inlineStr">
        <is>
          <t>4.8</t>
        </is>
      </c>
      <c r="H79" t="n">
        <v>-1.05</v>
      </c>
      <c r="I79" t="inlineStr">
        <is>
          <t>C1</t>
        </is>
      </c>
      <c r="J79" t="n">
        <v>0</v>
      </c>
      <c r="K79" t="inlineStr"/>
      <c r="L79" t="n">
        <v>0.9506</v>
      </c>
      <c r="M79" t="n">
        <v>0.9506</v>
      </c>
      <c r="N79" t="inlineStr">
        <is>
          <t>Yes</t>
        </is>
      </c>
      <c r="O79" t="inlineStr">
        <is>
          <t>equal</t>
        </is>
      </c>
      <c r="P79" t="inlineStr">
        <is>
          <t>deposited</t>
        </is>
      </c>
      <c r="Q79" t="inlineStr"/>
      <c r="R79" t="inlineStr"/>
      <c r="S79">
        <f>HYPERLINK("https://helical-indexing-hi3d.streamlit.app/?emd_id=emd-16883&amp;rise=4.8&amp;twist=-1.05&amp;csym=1&amp;rise2=4.8&amp;twist2=-1.05&amp;csym2=1", "Link")</f>
        <v/>
      </c>
    </row>
    <row r="80">
      <c r="A80" t="inlineStr">
        <is>
          <t>EMD-16600</t>
        </is>
      </c>
      <c r="B80" t="inlineStr">
        <is>
          <t>amyloid</t>
        </is>
      </c>
      <c r="C80" t="n">
        <v>2.7</v>
      </c>
      <c r="D80" t="n">
        <v>4.76</v>
      </c>
      <c r="E80" t="n">
        <v>-1.58</v>
      </c>
      <c r="F80" t="inlineStr">
        <is>
          <t>C1</t>
        </is>
      </c>
      <c r="G80" t="inlineStr">
        <is>
          <t>4.76</t>
        </is>
      </c>
      <c r="H80" t="n">
        <v>-1.58</v>
      </c>
      <c r="I80" t="inlineStr">
        <is>
          <t>C1</t>
        </is>
      </c>
      <c r="J80" t="n">
        <v>0</v>
      </c>
      <c r="K80" t="inlineStr"/>
      <c r="L80" t="n">
        <v>0.95819</v>
      </c>
      <c r="M80" t="n">
        <v>0.95819</v>
      </c>
      <c r="N80" t="inlineStr">
        <is>
          <t>Yes</t>
        </is>
      </c>
      <c r="O80" t="inlineStr">
        <is>
          <t>equal</t>
        </is>
      </c>
      <c r="P80" t="inlineStr">
        <is>
          <t>deposited</t>
        </is>
      </c>
      <c r="Q80" t="inlineStr"/>
      <c r="R80" t="inlineStr"/>
      <c r="S80">
        <f>HYPERLINK("https://helical-indexing-hi3d.streamlit.app/?emd_id=emd-16600&amp;rise=4.76&amp;twist=-1.58&amp;csym=1&amp;rise2=4.76&amp;twist2=-1.58&amp;csym2=1", "Link")</f>
        <v/>
      </c>
    </row>
    <row r="81">
      <c r="A81" t="inlineStr">
        <is>
          <t>EMD-33236</t>
        </is>
      </c>
      <c r="B81" t="inlineStr">
        <is>
          <t>amyloid</t>
        </is>
      </c>
      <c r="C81" t="n">
        <v>2.7</v>
      </c>
      <c r="D81" t="n">
        <v>2.42</v>
      </c>
      <c r="E81" t="n">
        <v>179.6</v>
      </c>
      <c r="F81" t="inlineStr">
        <is>
          <t>C1</t>
        </is>
      </c>
      <c r="G81" t="inlineStr">
        <is>
          <t>2.42</t>
        </is>
      </c>
      <c r="H81" t="n">
        <v>179.6</v>
      </c>
      <c r="I81" t="inlineStr">
        <is>
          <t>C1</t>
        </is>
      </c>
      <c r="J81" t="n">
        <v>0</v>
      </c>
      <c r="K81" t="inlineStr"/>
      <c r="L81" t="n">
        <v>0.94981</v>
      </c>
      <c r="M81" t="n">
        <v>0.94981</v>
      </c>
      <c r="N81" t="inlineStr">
        <is>
          <t>Yes</t>
        </is>
      </c>
      <c r="O81" t="inlineStr">
        <is>
          <t>equal</t>
        </is>
      </c>
      <c r="P81" t="inlineStr">
        <is>
          <t>deposited</t>
        </is>
      </c>
      <c r="Q81" t="inlineStr"/>
      <c r="R81" t="inlineStr"/>
      <c r="S81">
        <f>HYPERLINK("https://helical-indexing-hi3d.streamlit.app/?emd_id=emd-33236&amp;rise=2.42&amp;twist=179.6&amp;csym=1&amp;rise2=2.42&amp;twist2=179.6&amp;csym2=1", "Link")</f>
        <v/>
      </c>
    </row>
    <row r="82">
      <c r="A82" t="inlineStr">
        <is>
          <t>EMD-32637</t>
        </is>
      </c>
      <c r="B82" t="inlineStr">
        <is>
          <t>amyloid</t>
        </is>
      </c>
      <c r="C82" t="n">
        <v>2.7</v>
      </c>
      <c r="D82" t="n">
        <v>2.375</v>
      </c>
      <c r="E82" t="n">
        <v>179.51</v>
      </c>
      <c r="F82" t="inlineStr">
        <is>
          <t>C1</t>
        </is>
      </c>
      <c r="G82" t="inlineStr">
        <is>
          <t>2.375</t>
        </is>
      </c>
      <c r="H82" t="n">
        <v>179.51</v>
      </c>
      <c r="I82" t="inlineStr">
        <is>
          <t>C1</t>
        </is>
      </c>
      <c r="J82" t="n">
        <v>0</v>
      </c>
      <c r="K82" t="inlineStr"/>
      <c r="L82" t="n">
        <v>0.79488</v>
      </c>
      <c r="M82" t="n">
        <v>0.79488</v>
      </c>
      <c r="N82" t="inlineStr">
        <is>
          <t>Yes</t>
        </is>
      </c>
      <c r="O82" t="inlineStr">
        <is>
          <t>equal</t>
        </is>
      </c>
      <c r="P82" t="inlineStr">
        <is>
          <t>deposited</t>
        </is>
      </c>
      <c r="Q82" t="inlineStr"/>
      <c r="R82" t="inlineStr"/>
      <c r="S82">
        <f>HYPERLINK("https://helical-indexing-hi3d.streamlit.app/?emd_id=emd-32637&amp;rise=2.375&amp;twist=179.51&amp;csym=1&amp;rise2=2.375&amp;twist2=179.51&amp;csym2=1", "Link")</f>
        <v/>
      </c>
    </row>
    <row r="83">
      <c r="A83" t="inlineStr">
        <is>
          <t>EMD-13218</t>
        </is>
      </c>
      <c r="B83" t="inlineStr">
        <is>
          <t>amyloid</t>
        </is>
      </c>
      <c r="C83" t="n">
        <v>2.7</v>
      </c>
      <c r="D83" t="n">
        <v>4.78</v>
      </c>
      <c r="E83" t="n">
        <v>-0.86</v>
      </c>
      <c r="F83" t="inlineStr">
        <is>
          <t>C1</t>
        </is>
      </c>
      <c r="G83" t="inlineStr">
        <is>
          <t>4.78</t>
        </is>
      </c>
      <c r="H83" t="n">
        <v>-0.86</v>
      </c>
      <c r="I83" t="inlineStr">
        <is>
          <t>C1</t>
        </is>
      </c>
      <c r="J83" t="n">
        <v>0</v>
      </c>
      <c r="K83" t="inlineStr"/>
      <c r="L83" t="n">
        <v>0.95083</v>
      </c>
      <c r="M83" t="n">
        <v>0.95083</v>
      </c>
      <c r="N83" t="inlineStr">
        <is>
          <t>Yes</t>
        </is>
      </c>
      <c r="O83" t="inlineStr">
        <is>
          <t>equal</t>
        </is>
      </c>
      <c r="P83" t="inlineStr">
        <is>
          <t>deposited</t>
        </is>
      </c>
      <c r="Q83" t="inlineStr"/>
      <c r="R83" t="inlineStr"/>
      <c r="S83">
        <f>HYPERLINK("https://helical-indexing-hi3d.streamlit.app/?emd_id=emd-13218&amp;rise=4.78&amp;twist=-0.86&amp;csym=1&amp;rise2=4.78&amp;twist2=-0.86&amp;csym2=1", "Link")</f>
        <v/>
      </c>
    </row>
    <row r="84">
      <c r="A84" t="inlineStr">
        <is>
          <t>EMD-18272</t>
        </is>
      </c>
      <c r="B84" t="inlineStr">
        <is>
          <t>amyloid</t>
        </is>
      </c>
      <c r="C84" t="n">
        <v>2.7</v>
      </c>
      <c r="D84" t="n">
        <v>4.77</v>
      </c>
      <c r="E84" t="n">
        <v>-1.3</v>
      </c>
      <c r="F84" t="inlineStr">
        <is>
          <t>C1</t>
        </is>
      </c>
      <c r="G84" t="inlineStr">
        <is>
          <t>4.77</t>
        </is>
      </c>
      <c r="H84" t="n">
        <v>-1.3</v>
      </c>
      <c r="I84" t="inlineStr">
        <is>
          <t>C1</t>
        </is>
      </c>
      <c r="J84" t="n">
        <v>0</v>
      </c>
      <c r="K84" t="inlineStr"/>
      <c r="L84" t="n">
        <v>0.96153</v>
      </c>
      <c r="M84" t="n">
        <v>0.96153</v>
      </c>
      <c r="N84" t="inlineStr">
        <is>
          <t>Yes</t>
        </is>
      </c>
      <c r="O84" t="inlineStr">
        <is>
          <t>equal</t>
        </is>
      </c>
      <c r="P84" t="inlineStr">
        <is>
          <t>deposited</t>
        </is>
      </c>
      <c r="Q84" t="inlineStr"/>
      <c r="R84" t="inlineStr"/>
      <c r="S84">
        <f>HYPERLINK("https://helical-indexing-hi3d.streamlit.app/?emd_id=emd-18272&amp;rise=4.77&amp;twist=-1.3&amp;csym=1&amp;rise2=4.77&amp;twist2=-1.3&amp;csym2=1", "Link")</f>
        <v/>
      </c>
    </row>
    <row r="85">
      <c r="A85" t="inlineStr">
        <is>
          <t>EMD-9232</t>
        </is>
      </c>
      <c r="B85" t="inlineStr">
        <is>
          <t>amyloid</t>
        </is>
      </c>
      <c r="C85" t="n">
        <v>2.7</v>
      </c>
      <c r="D85" t="n">
        <v>2.4</v>
      </c>
      <c r="E85" t="n">
        <v>0.79</v>
      </c>
      <c r="F85" t="inlineStr">
        <is>
          <t>C1</t>
        </is>
      </c>
      <c r="G85" t="inlineStr">
        <is>
          <t>2.387</t>
        </is>
      </c>
      <c r="H85" t="n">
        <v>-179.21</v>
      </c>
      <c r="I85" t="inlineStr">
        <is>
          <t>C1</t>
        </is>
      </c>
      <c r="J85" t="n">
        <v>41.58028621059708</v>
      </c>
      <c r="K85" t="inlineStr">
        <is>
          <t> </t>
        </is>
      </c>
      <c r="L85" t="n">
        <v>0.4252</v>
      </c>
      <c r="M85" t="n">
        <v>0.74299</v>
      </c>
      <c r="N85" t="inlineStr">
        <is>
          <t>No</t>
        </is>
      </c>
      <c r="O85" t="inlineStr">
        <is>
          <t>improve</t>
        </is>
      </c>
      <c r="P85" t="inlineStr">
        <is>
          <t>different</t>
        </is>
      </c>
      <c r="Q85" t="inlineStr">
        <is>
          <t>partial symmetry</t>
        </is>
      </c>
      <c r="R85" t="inlineStr"/>
      <c r="S85">
        <f>HYPERLINK("https://helical-indexing-hi3d.streamlit.app/?emd_id=emd-9232&amp;rise=2.387&amp;twist=-179.21&amp;csym=1&amp;rise2=2.4&amp;twist2=0.79&amp;csym2=1", "Link")</f>
        <v/>
      </c>
    </row>
    <row r="86">
      <c r="A86" t="inlineStr">
        <is>
          <t>EMD-29458</t>
        </is>
      </c>
      <c r="B86" t="inlineStr">
        <is>
          <t>amyloid</t>
        </is>
      </c>
      <c r="C86" t="n">
        <v>2.7</v>
      </c>
      <c r="D86" t="n">
        <v>2.37</v>
      </c>
      <c r="E86" t="n">
        <v>179.45</v>
      </c>
      <c r="F86" t="inlineStr">
        <is>
          <t>C1</t>
        </is>
      </c>
      <c r="G86" t="inlineStr">
        <is>
          <t>2.375</t>
        </is>
      </c>
      <c r="H86" t="n">
        <v>179.432</v>
      </c>
      <c r="I86" t="inlineStr">
        <is>
          <t>C1</t>
        </is>
      </c>
      <c r="J86" t="n">
        <v>0.008627506</v>
      </c>
      <c r="K86" t="inlineStr"/>
      <c r="L86" t="n">
        <v>0.82041</v>
      </c>
      <c r="M86" t="n">
        <v>0.82041</v>
      </c>
      <c r="N86" t="inlineStr">
        <is>
          <t>Yes</t>
        </is>
      </c>
      <c r="O86" t="inlineStr">
        <is>
          <t>equal</t>
        </is>
      </c>
      <c r="P86" t="inlineStr">
        <is>
          <t>deposited</t>
        </is>
      </c>
      <c r="Q86" t="inlineStr"/>
      <c r="R86" t="inlineStr"/>
      <c r="S86">
        <f>HYPERLINK("https://helical-indexing-hi3d.streamlit.app/?emd_id=emd-29458&amp;rise=2.375&amp;twist=179.432&amp;csym=1&amp;rise2=2.37&amp;twist2=179.45&amp;csym2=1", "Link")</f>
        <v/>
      </c>
    </row>
    <row r="87">
      <c r="A87" t="inlineStr">
        <is>
          <t>EMD-18509</t>
        </is>
      </c>
      <c r="B87" t="inlineStr">
        <is>
          <t>amyloid</t>
        </is>
      </c>
      <c r="C87" t="n">
        <v>2.7</v>
      </c>
      <c r="D87" t="n">
        <v>2.44</v>
      </c>
      <c r="E87" t="n">
        <v>-179.53</v>
      </c>
      <c r="F87" t="inlineStr">
        <is>
          <t>C1</t>
        </is>
      </c>
      <c r="G87" t="inlineStr">
        <is>
          <t>2.44</t>
        </is>
      </c>
      <c r="H87" t="n">
        <v>-179.53</v>
      </c>
      <c r="I87" t="inlineStr">
        <is>
          <t>C1</t>
        </is>
      </c>
      <c r="J87" t="n">
        <v>0</v>
      </c>
      <c r="K87" t="inlineStr"/>
      <c r="L87" t="n">
        <v>0.9651</v>
      </c>
      <c r="M87" t="n">
        <v>0.9651</v>
      </c>
      <c r="N87" t="inlineStr">
        <is>
          <t>Yes</t>
        </is>
      </c>
      <c r="O87" t="inlineStr">
        <is>
          <t>equal</t>
        </is>
      </c>
      <c r="P87" t="inlineStr">
        <is>
          <t>deposited</t>
        </is>
      </c>
      <c r="Q87" t="inlineStr"/>
      <c r="R87" t="inlineStr"/>
      <c r="S87">
        <f>HYPERLINK("https://helical-indexing-hi3d.streamlit.app/?emd_id=emd-18509&amp;rise=2.44&amp;twist=-179.53&amp;csym=1&amp;rise2=2.44&amp;twist2=-179.53&amp;csym2=1", "Link")</f>
        <v/>
      </c>
    </row>
    <row r="88">
      <c r="A88" t="inlineStr">
        <is>
          <t>EMD-13989</t>
        </is>
      </c>
      <c r="B88" t="inlineStr">
        <is>
          <t>amyloid</t>
        </is>
      </c>
      <c r="C88" t="n">
        <v>2.7</v>
      </c>
      <c r="D88" t="n">
        <v>4.82</v>
      </c>
      <c r="E88" t="n">
        <v>-0.64</v>
      </c>
      <c r="F88" t="inlineStr">
        <is>
          <t>C1</t>
        </is>
      </c>
      <c r="G88" t="inlineStr">
        <is>
          <t>4.82</t>
        </is>
      </c>
      <c r="H88" t="n">
        <v>-0.64</v>
      </c>
      <c r="I88" t="inlineStr">
        <is>
          <t>C1</t>
        </is>
      </c>
      <c r="J88" t="n">
        <v>0</v>
      </c>
      <c r="K88" t="inlineStr"/>
      <c r="L88" t="n">
        <v>0.76186</v>
      </c>
      <c r="M88" t="n">
        <v>0.76186</v>
      </c>
      <c r="N88" t="inlineStr">
        <is>
          <t>Yes</t>
        </is>
      </c>
      <c r="O88" t="inlineStr">
        <is>
          <t>equal</t>
        </is>
      </c>
      <c r="P88" t="inlineStr">
        <is>
          <t>deposited</t>
        </is>
      </c>
      <c r="Q88" t="inlineStr"/>
      <c r="R88" t="inlineStr"/>
      <c r="S88">
        <f>HYPERLINK("https://helical-indexing-hi3d.streamlit.app/?emd_id=emd-13989&amp;rise=4.82&amp;twist=-0.64&amp;csym=1&amp;rise2=4.82&amp;twist2=-0.64&amp;csym2=1", "Link")</f>
        <v/>
      </c>
    </row>
    <row r="89">
      <c r="A89" t="inlineStr">
        <is>
          <t>EMD-0931</t>
        </is>
      </c>
      <c r="B89" t="inlineStr">
        <is>
          <t>amyloid</t>
        </is>
      </c>
      <c r="C89" t="n">
        <v>2.702</v>
      </c>
      <c r="D89" t="n">
        <v>2.403</v>
      </c>
      <c r="E89" t="n">
        <v>179.449</v>
      </c>
      <c r="F89" t="inlineStr">
        <is>
          <t>C1</t>
        </is>
      </c>
      <c r="G89" t="inlineStr">
        <is>
          <t>2.403</t>
        </is>
      </c>
      <c r="H89" t="n">
        <v>179.449</v>
      </c>
      <c r="I89" t="inlineStr">
        <is>
          <t>C1</t>
        </is>
      </c>
      <c r="J89" t="n">
        <v>0</v>
      </c>
      <c r="K89" t="inlineStr"/>
      <c r="L89" t="n">
        <v>0.94063</v>
      </c>
      <c r="M89" t="n">
        <v>0.94063</v>
      </c>
      <c r="N89" t="inlineStr">
        <is>
          <t>Yes</t>
        </is>
      </c>
      <c r="O89" t="inlineStr">
        <is>
          <t>equal</t>
        </is>
      </c>
      <c r="P89" t="inlineStr">
        <is>
          <t>deposited</t>
        </is>
      </c>
      <c r="Q89" t="inlineStr"/>
      <c r="R89" t="inlineStr"/>
      <c r="S89">
        <f>HYPERLINK("https://helical-indexing-hi3d.streamlit.app/?emd_id=emd-0931&amp;rise=2.403&amp;twist=179.449&amp;csym=1&amp;rise2=2.403&amp;twist2=179.449&amp;csym2=1", "Link")</f>
        <v/>
      </c>
    </row>
    <row r="90">
      <c r="A90" t="inlineStr">
        <is>
          <t>EMD-29682</t>
        </is>
      </c>
      <c r="B90" t="inlineStr">
        <is>
          <t>amyloid</t>
        </is>
      </c>
      <c r="C90" t="n">
        <v>2.715</v>
      </c>
      <c r="D90" t="n">
        <v>2.345</v>
      </c>
      <c r="E90" t="n">
        <v>179.49</v>
      </c>
      <c r="F90" t="inlineStr">
        <is>
          <t>C1</t>
        </is>
      </c>
      <c r="G90" t="inlineStr">
        <is>
          <t>2.345</t>
        </is>
      </c>
      <c r="H90" t="n">
        <v>179.49</v>
      </c>
      <c r="I90" t="inlineStr">
        <is>
          <t>C1</t>
        </is>
      </c>
      <c r="J90" t="n">
        <v>0</v>
      </c>
      <c r="K90" t="inlineStr"/>
      <c r="L90" t="n">
        <v>0.85455</v>
      </c>
      <c r="M90" t="n">
        <v>0.85455</v>
      </c>
      <c r="N90" t="inlineStr">
        <is>
          <t>Yes</t>
        </is>
      </c>
      <c r="O90" t="inlineStr">
        <is>
          <t>equal</t>
        </is>
      </c>
      <c r="P90" t="inlineStr">
        <is>
          <t>deposited</t>
        </is>
      </c>
      <c r="Q90" t="inlineStr"/>
      <c r="R90" t="inlineStr"/>
      <c r="S90">
        <f>HYPERLINK("https://helical-indexing-hi3d.streamlit.app/?emd_id=emd-29682&amp;rise=2.345&amp;twist=179.49&amp;csym=1&amp;rise2=2.345&amp;twist2=179.49&amp;csym2=1", "Link")</f>
        <v/>
      </c>
    </row>
    <row r="91">
      <c r="A91" t="inlineStr">
        <is>
          <t>EMD-17167</t>
        </is>
      </c>
      <c r="B91" t="inlineStr">
        <is>
          <t>amyloid</t>
        </is>
      </c>
      <c r="C91" t="n">
        <v>2.73</v>
      </c>
      <c r="D91" t="n">
        <v>2.372</v>
      </c>
      <c r="E91" t="n">
        <v>179.526</v>
      </c>
      <c r="F91" t="inlineStr">
        <is>
          <t>C1</t>
        </is>
      </c>
      <c r="G91" t="inlineStr">
        <is>
          <t>2.372</t>
        </is>
      </c>
      <c r="H91" t="n">
        <v>179.526</v>
      </c>
      <c r="I91" t="inlineStr">
        <is>
          <t>C1</t>
        </is>
      </c>
      <c r="J91" t="n">
        <v>0</v>
      </c>
      <c r="K91" t="inlineStr"/>
      <c r="L91" t="n">
        <v>0.83052</v>
      </c>
      <c r="M91" t="n">
        <v>0.83052</v>
      </c>
      <c r="N91" t="inlineStr">
        <is>
          <t>Yes</t>
        </is>
      </c>
      <c r="O91" t="inlineStr">
        <is>
          <t>equal</t>
        </is>
      </c>
      <c r="P91" t="inlineStr">
        <is>
          <t>deposited</t>
        </is>
      </c>
      <c r="Q91" t="inlineStr"/>
      <c r="R91" t="inlineStr"/>
      <c r="S91">
        <f>HYPERLINK("https://helical-indexing-hi3d.streamlit.app/?emd_id=emd-17167&amp;rise=2.372&amp;twist=179.526&amp;csym=1&amp;rise2=2.372&amp;twist2=179.526&amp;csym2=1", "Link")</f>
        <v/>
      </c>
    </row>
    <row r="92">
      <c r="A92" t="inlineStr">
        <is>
          <t>EMD-11162</t>
        </is>
      </c>
      <c r="B92" t="inlineStr">
        <is>
          <t>amyloid</t>
        </is>
      </c>
      <c r="C92" t="n">
        <v>2.73</v>
      </c>
      <c r="D92" t="n">
        <v>2.3719</v>
      </c>
      <c r="E92" t="n">
        <v>178.93</v>
      </c>
      <c r="F92" t="inlineStr">
        <is>
          <t>C1</t>
        </is>
      </c>
      <c r="G92" t="inlineStr">
        <is>
          <t>2.34</t>
        </is>
      </c>
      <c r="H92" t="n">
        <v>178.88</v>
      </c>
      <c r="I92" t="inlineStr">
        <is>
          <t>C1</t>
        </is>
      </c>
      <c r="J92" t="n">
        <v>0.037456288</v>
      </c>
      <c r="K92" t="inlineStr">
        <is>
          <t>z -&gt; x</t>
        </is>
      </c>
      <c r="L92" t="n">
        <v>0.29561</v>
      </c>
      <c r="M92" t="n">
        <v>0.30259</v>
      </c>
      <c r="N92" t="inlineStr">
        <is>
          <t>No</t>
        </is>
      </c>
      <c r="O92" t="inlineStr">
        <is>
          <t>improve</t>
        </is>
      </c>
      <c r="P92" t="inlineStr">
        <is>
          <t>adjusted decimals</t>
        </is>
      </c>
      <c r="Q92" t="inlineStr"/>
      <c r="R92" t="inlineStr"/>
      <c r="S92">
        <f>HYPERLINK("https://helical-indexing-hi3d.streamlit.app/?emd_id=emd-11162&amp;rise=2.34&amp;twist=178.88&amp;csym=1&amp;rise2=2.3719&amp;twist2=178.93&amp;csym2=1", "Link")</f>
        <v/>
      </c>
    </row>
    <row r="93">
      <c r="A93" t="inlineStr">
        <is>
          <t>EMD-14316</t>
        </is>
      </c>
      <c r="B93" t="inlineStr">
        <is>
          <t>amyloid</t>
        </is>
      </c>
      <c r="C93" t="n">
        <v>2.75</v>
      </c>
      <c r="D93" t="n">
        <v>2.39</v>
      </c>
      <c r="E93" t="n">
        <v>179.48</v>
      </c>
      <c r="F93" t="inlineStr">
        <is>
          <t>C1</t>
        </is>
      </c>
      <c r="G93" t="inlineStr">
        <is>
          <t>2.39</t>
        </is>
      </c>
      <c r="H93" t="n">
        <v>179.48</v>
      </c>
      <c r="I93" t="inlineStr">
        <is>
          <t>C1</t>
        </is>
      </c>
      <c r="J93" t="n">
        <v>0</v>
      </c>
      <c r="K93" t="inlineStr"/>
      <c r="L93" t="n">
        <v>0.96049</v>
      </c>
      <c r="M93" t="n">
        <v>0.96049</v>
      </c>
      <c r="N93" t="inlineStr">
        <is>
          <t>Yes</t>
        </is>
      </c>
      <c r="O93" t="inlineStr">
        <is>
          <t>equal</t>
        </is>
      </c>
      <c r="P93" t="inlineStr">
        <is>
          <t>deposited</t>
        </is>
      </c>
      <c r="Q93" t="inlineStr"/>
      <c r="R93" t="inlineStr"/>
      <c r="S93">
        <f>HYPERLINK("https://helical-indexing-hi3d.streamlit.app/?emd_id=emd-14316&amp;rise=2.39&amp;twist=179.48&amp;csym=1&amp;rise2=2.39&amp;twist2=179.48&amp;csym2=1", "Link")</f>
        <v/>
      </c>
    </row>
    <row r="94">
      <c r="A94" t="inlineStr">
        <is>
          <t>EMD-18333</t>
        </is>
      </c>
      <c r="B94" t="inlineStr">
        <is>
          <t>amyloid</t>
        </is>
      </c>
      <c r="C94" t="n">
        <v>2.75</v>
      </c>
      <c r="D94" t="n">
        <v>4.77</v>
      </c>
      <c r="E94" t="n">
        <v>-1.39</v>
      </c>
      <c r="F94" t="inlineStr">
        <is>
          <t>C2</t>
        </is>
      </c>
      <c r="G94" t="inlineStr">
        <is>
          <t>4.77</t>
        </is>
      </c>
      <c r="H94" t="n">
        <v>-1.39</v>
      </c>
      <c r="I94" t="inlineStr">
        <is>
          <t>C2</t>
        </is>
      </c>
      <c r="J94" t="n">
        <v>0</v>
      </c>
      <c r="K94" t="inlineStr"/>
      <c r="L94" t="n">
        <v>0.77219</v>
      </c>
      <c r="M94" t="n">
        <v>0.77219</v>
      </c>
      <c r="N94" t="inlineStr">
        <is>
          <t>Yes</t>
        </is>
      </c>
      <c r="O94" t="inlineStr">
        <is>
          <t>equal</t>
        </is>
      </c>
      <c r="P94" t="inlineStr">
        <is>
          <t>deposited</t>
        </is>
      </c>
      <c r="Q94" t="inlineStr"/>
      <c r="R94" t="inlineStr"/>
      <c r="S94">
        <f>HYPERLINK("https://helical-indexing-hi3d.streamlit.app/?emd_id=emd-18333&amp;rise=4.77&amp;twist=-1.39&amp;csym=2&amp;rise2=4.77&amp;twist2=-1.39&amp;csym2=2", "Link")</f>
        <v/>
      </c>
    </row>
    <row r="95">
      <c r="A95" t="inlineStr">
        <is>
          <t>EMD-14189</t>
        </is>
      </c>
      <c r="B95" t="inlineStr">
        <is>
          <t>amyloid</t>
        </is>
      </c>
      <c r="C95" t="n">
        <v>2.76</v>
      </c>
      <c r="D95" t="n">
        <v>4.79</v>
      </c>
      <c r="E95" t="n">
        <v>-0.6899999999999999</v>
      </c>
      <c r="F95" t="inlineStr">
        <is>
          <t>C1</t>
        </is>
      </c>
      <c r="G95" t="inlineStr">
        <is>
          <t>4.79</t>
        </is>
      </c>
      <c r="H95" t="n">
        <v>-0.6899999999999999</v>
      </c>
      <c r="I95" t="inlineStr">
        <is>
          <t>C1</t>
        </is>
      </c>
      <c r="J95" t="n">
        <v>0</v>
      </c>
      <c r="K95" t="inlineStr"/>
      <c r="L95" t="n">
        <v>0.9438299999999999</v>
      </c>
      <c r="M95" t="n">
        <v>0.9438299999999999</v>
      </c>
      <c r="N95" t="inlineStr">
        <is>
          <t>Yes</t>
        </is>
      </c>
      <c r="O95" t="inlineStr">
        <is>
          <t>equal</t>
        </is>
      </c>
      <c r="P95" t="inlineStr">
        <is>
          <t>deposited</t>
        </is>
      </c>
      <c r="Q95" t="inlineStr"/>
      <c r="R95" t="inlineStr"/>
      <c r="S95">
        <f>HYPERLINK("https://helical-indexing-hi3d.streamlit.app/?emd_id=emd-14189&amp;rise=4.79&amp;twist=-0.69&amp;csym=1&amp;rise2=4.79&amp;twist2=-0.69&amp;csym2=1", "Link")</f>
        <v/>
      </c>
    </row>
    <row r="96">
      <c r="A96" t="inlineStr">
        <is>
          <t>EMD-28741</t>
        </is>
      </c>
      <c r="B96" t="inlineStr">
        <is>
          <t>amyloid</t>
        </is>
      </c>
      <c r="C96" t="n">
        <v>2.76</v>
      </c>
      <c r="D96" t="n">
        <v>2.48</v>
      </c>
      <c r="E96" t="n">
        <v>179.36</v>
      </c>
      <c r="F96" t="inlineStr">
        <is>
          <t>C1</t>
        </is>
      </c>
      <c r="G96" t="inlineStr">
        <is>
          <t>2.48</t>
        </is>
      </c>
      <c r="H96" t="n">
        <v>179.36</v>
      </c>
      <c r="I96" t="inlineStr">
        <is>
          <t>C1</t>
        </is>
      </c>
      <c r="J96" t="n">
        <v>0</v>
      </c>
      <c r="K96" t="inlineStr"/>
      <c r="L96" t="n">
        <v>0.89904</v>
      </c>
      <c r="M96" t="n">
        <v>0.89904</v>
      </c>
      <c r="N96" t="inlineStr">
        <is>
          <t>Yes</t>
        </is>
      </c>
      <c r="O96" t="inlineStr">
        <is>
          <t>equal</t>
        </is>
      </c>
      <c r="P96" t="inlineStr">
        <is>
          <t>deposited</t>
        </is>
      </c>
      <c r="Q96" t="inlineStr"/>
      <c r="R96" t="inlineStr"/>
      <c r="S96">
        <f>HYPERLINK("https://helical-indexing-hi3d.streamlit.app/?emd_id=emd-28741&amp;rise=2.48&amp;twist=179.36&amp;csym=1&amp;rise2=2.48&amp;twist2=179.36&amp;csym2=1", "Link")</f>
        <v/>
      </c>
    </row>
    <row r="97">
      <c r="A97" t="inlineStr">
        <is>
          <t>EMD-18285</t>
        </is>
      </c>
      <c r="B97" t="inlineStr">
        <is>
          <t>amyloid</t>
        </is>
      </c>
      <c r="C97" t="n">
        <v>2.76</v>
      </c>
      <c r="D97" t="n">
        <v>1.58</v>
      </c>
      <c r="E97" t="n">
        <v>119.496</v>
      </c>
      <c r="F97" t="inlineStr">
        <is>
          <t>C1</t>
        </is>
      </c>
      <c r="G97" t="inlineStr">
        <is>
          <t>1.58</t>
        </is>
      </c>
      <c r="H97" t="n">
        <v>119.496</v>
      </c>
      <c r="I97" t="inlineStr">
        <is>
          <t>C1</t>
        </is>
      </c>
      <c r="J97" t="n">
        <v>0</v>
      </c>
      <c r="K97" t="inlineStr"/>
      <c r="L97" t="n">
        <v>0.96652</v>
      </c>
      <c r="M97" t="n">
        <v>0.96652</v>
      </c>
      <c r="N97" t="inlineStr">
        <is>
          <t>Yes</t>
        </is>
      </c>
      <c r="O97" t="inlineStr">
        <is>
          <t>equal</t>
        </is>
      </c>
      <c r="P97" t="inlineStr">
        <is>
          <t>deposited</t>
        </is>
      </c>
      <c r="Q97" t="inlineStr"/>
      <c r="R97" t="inlineStr"/>
      <c r="S97">
        <f>HYPERLINK("https://helical-indexing-hi3d.streamlit.app/?emd_id=emd-18285&amp;rise=1.58&amp;twist=119.496&amp;csym=1&amp;rise2=1.58&amp;twist2=119.496&amp;csym2=1", "Link")</f>
        <v/>
      </c>
    </row>
    <row r="98">
      <c r="A98" t="inlineStr">
        <is>
          <t>EMD-12549</t>
        </is>
      </c>
      <c r="B98" t="inlineStr">
        <is>
          <t>amyloid</t>
        </is>
      </c>
      <c r="C98" t="n">
        <v>2.76</v>
      </c>
      <c r="D98" t="n">
        <v>2.37</v>
      </c>
      <c r="E98" t="n">
        <v>179.44</v>
      </c>
      <c r="F98" t="inlineStr">
        <is>
          <t>C1</t>
        </is>
      </c>
      <c r="G98" t="inlineStr">
        <is>
          <t>2.37</t>
        </is>
      </c>
      <c r="H98" t="n">
        <v>179.44</v>
      </c>
      <c r="I98" t="inlineStr">
        <is>
          <t>C1</t>
        </is>
      </c>
      <c r="J98" t="n">
        <v>0</v>
      </c>
      <c r="K98" t="inlineStr"/>
      <c r="L98" t="n">
        <v>0.96219</v>
      </c>
      <c r="M98" t="n">
        <v>0.96219</v>
      </c>
      <c r="N98" t="inlineStr">
        <is>
          <t>Yes</t>
        </is>
      </c>
      <c r="O98" t="inlineStr">
        <is>
          <t>equal</t>
        </is>
      </c>
      <c r="P98" t="inlineStr">
        <is>
          <t>deposited</t>
        </is>
      </c>
      <c r="Q98" t="inlineStr"/>
      <c r="R98" t="inlineStr"/>
      <c r="S98">
        <f>HYPERLINK("https://helical-indexing-hi3d.streamlit.app/?emd_id=emd-12549&amp;rise=2.37&amp;twist=179.44&amp;csym=1&amp;rise2=2.37&amp;twist2=179.44&amp;csym2=1", "Link")</f>
        <v/>
      </c>
    </row>
    <row r="99">
      <c r="A99" t="inlineStr">
        <is>
          <t>EMD-13851</t>
        </is>
      </c>
      <c r="B99" t="inlineStr">
        <is>
          <t>amyloid</t>
        </is>
      </c>
      <c r="C99" t="n">
        <v>2.76</v>
      </c>
      <c r="D99" t="n">
        <v>4.65</v>
      </c>
      <c r="E99" t="n">
        <v>-3.09</v>
      </c>
      <c r="F99" t="inlineStr">
        <is>
          <t>C1</t>
        </is>
      </c>
      <c r="G99" t="inlineStr">
        <is>
          <t>4.65</t>
        </is>
      </c>
      <c r="H99" t="n">
        <v>-3.09</v>
      </c>
      <c r="I99" t="inlineStr">
        <is>
          <t>C1</t>
        </is>
      </c>
      <c r="J99" t="n">
        <v>0</v>
      </c>
      <c r="K99" t="inlineStr"/>
      <c r="L99" t="n">
        <v>0.8680600000000001</v>
      </c>
      <c r="M99" t="n">
        <v>0.8680600000000001</v>
      </c>
      <c r="N99" t="inlineStr">
        <is>
          <t>Yes</t>
        </is>
      </c>
      <c r="O99" t="inlineStr">
        <is>
          <t>equal</t>
        </is>
      </c>
      <c r="P99" t="inlineStr">
        <is>
          <t>deposited</t>
        </is>
      </c>
      <c r="Q99" t="inlineStr"/>
      <c r="R99" t="inlineStr"/>
      <c r="S99">
        <f>HYPERLINK("https://helical-indexing-hi3d.streamlit.app/?emd_id=emd-13851&amp;rise=4.65&amp;twist=-3.09&amp;csym=1&amp;rise2=4.65&amp;twist2=-3.09&amp;csym2=1", "Link")</f>
        <v/>
      </c>
    </row>
    <row r="100">
      <c r="A100" t="inlineStr">
        <is>
          <t>EMD-15388</t>
        </is>
      </c>
      <c r="B100" t="inlineStr">
        <is>
          <t>amyloid</t>
        </is>
      </c>
      <c r="C100" t="n">
        <v>2.76</v>
      </c>
      <c r="D100" t="n">
        <v>4.72</v>
      </c>
      <c r="E100" t="n">
        <v>-0.95</v>
      </c>
      <c r="F100" t="inlineStr">
        <is>
          <t>C1</t>
        </is>
      </c>
      <c r="G100" t="inlineStr">
        <is>
          <t>4.72</t>
        </is>
      </c>
      <c r="H100" t="n">
        <v>-0.95</v>
      </c>
      <c r="I100" t="inlineStr">
        <is>
          <t>C1</t>
        </is>
      </c>
      <c r="J100" t="n">
        <v>0</v>
      </c>
      <c r="K100" t="inlineStr"/>
      <c r="L100" t="n">
        <v>0.95172</v>
      </c>
      <c r="M100" t="n">
        <v>0.95172</v>
      </c>
      <c r="N100" t="inlineStr">
        <is>
          <t>Yes</t>
        </is>
      </c>
      <c r="O100" t="inlineStr">
        <is>
          <t>equal</t>
        </is>
      </c>
      <c r="P100" t="inlineStr">
        <is>
          <t>deposited</t>
        </is>
      </c>
      <c r="Q100" t="inlineStr"/>
      <c r="R100" t="inlineStr"/>
      <c r="S100">
        <f>HYPERLINK("https://helical-indexing-hi3d.streamlit.app/?emd_id=emd-15388&amp;rise=4.72&amp;twist=-0.95&amp;csym=1&amp;rise2=4.72&amp;twist2=-0.95&amp;csym2=1", "Link")</f>
        <v/>
      </c>
    </row>
    <row r="101">
      <c r="A101" t="inlineStr">
        <is>
          <t>EMD-21501</t>
        </is>
      </c>
      <c r="B101" t="inlineStr">
        <is>
          <t>amyloid</t>
        </is>
      </c>
      <c r="C101" t="n">
        <v>2.77</v>
      </c>
      <c r="D101" t="n">
        <v>2.45</v>
      </c>
      <c r="E101" t="n">
        <v>179.66</v>
      </c>
      <c r="F101" t="inlineStr">
        <is>
          <t>C1</t>
        </is>
      </c>
      <c r="G101" t="inlineStr">
        <is>
          <t>2.45</t>
        </is>
      </c>
      <c r="H101" t="n">
        <v>179.66</v>
      </c>
      <c r="I101" t="inlineStr">
        <is>
          <t>C1</t>
        </is>
      </c>
      <c r="J101" t="n">
        <v>0</v>
      </c>
      <c r="K101" t="inlineStr"/>
      <c r="L101" t="n">
        <v>0.899</v>
      </c>
      <c r="M101" t="n">
        <v>0.899</v>
      </c>
      <c r="N101" t="inlineStr">
        <is>
          <t>Yes</t>
        </is>
      </c>
      <c r="O101" t="inlineStr">
        <is>
          <t>equal</t>
        </is>
      </c>
      <c r="P101" t="inlineStr">
        <is>
          <t>deposited</t>
        </is>
      </c>
      <c r="Q101" t="inlineStr"/>
      <c r="R101" t="inlineStr"/>
      <c r="S101">
        <f>HYPERLINK("https://helical-indexing-hi3d.streamlit.app/?emd_id=emd-21501&amp;rise=2.45&amp;twist=179.66&amp;csym=1&amp;rise2=2.45&amp;twist2=179.66&amp;csym2=1", "Link")</f>
        <v/>
      </c>
    </row>
    <row r="102">
      <c r="A102" t="inlineStr">
        <is>
          <t>EMD-15361</t>
        </is>
      </c>
      <c r="B102" t="inlineStr">
        <is>
          <t>amyloid</t>
        </is>
      </c>
      <c r="C102" t="n">
        <v>2.78</v>
      </c>
      <c r="D102" t="n">
        <v>4.817</v>
      </c>
      <c r="E102" t="n">
        <v>-1.23789</v>
      </c>
      <c r="F102" t="inlineStr">
        <is>
          <t>C1</t>
        </is>
      </c>
      <c r="G102" t="inlineStr">
        <is>
          <t>4.716</t>
        </is>
      </c>
      <c r="H102" t="n">
        <v>-1.244</v>
      </c>
      <c r="I102" t="inlineStr">
        <is>
          <t>C1</t>
        </is>
      </c>
      <c r="J102" t="n">
        <v>0.1010096606103457</v>
      </c>
      <c r="K102" t="inlineStr"/>
      <c r="L102" t="n">
        <v>0.69731</v>
      </c>
      <c r="M102" t="n">
        <v>0.70341</v>
      </c>
      <c r="N102" t="inlineStr">
        <is>
          <t>No</t>
        </is>
      </c>
      <c r="O102" t="inlineStr">
        <is>
          <t>improve</t>
        </is>
      </c>
      <c r="P102" t="inlineStr">
        <is>
          <t>adjusted decimals</t>
        </is>
      </c>
      <c r="Q102" t="inlineStr"/>
      <c r="R102" t="inlineStr"/>
      <c r="S102">
        <f>HYPERLINK("https://helical-indexing-hi3d.streamlit.app/?emd_id=emd-15361&amp;rise=4.716&amp;twist=-1.244&amp;csym=1&amp;rise2=4.817&amp;twist2=-1.23789&amp;csym2=1", "Link")</f>
        <v/>
      </c>
    </row>
    <row r="103">
      <c r="A103" t="inlineStr">
        <is>
          <t>EMD-13853</t>
        </is>
      </c>
      <c r="B103" t="inlineStr">
        <is>
          <t>amyloid</t>
        </is>
      </c>
      <c r="C103" t="n">
        <v>2.79</v>
      </c>
      <c r="D103" t="n">
        <v>4.67</v>
      </c>
      <c r="E103" t="n">
        <v>-3.29</v>
      </c>
      <c r="F103" t="inlineStr">
        <is>
          <t>C1</t>
        </is>
      </c>
      <c r="G103" t="inlineStr">
        <is>
          <t>4.67</t>
        </is>
      </c>
      <c r="H103" t="n">
        <v>-3.29</v>
      </c>
      <c r="I103" t="inlineStr">
        <is>
          <t>C1</t>
        </is>
      </c>
      <c r="J103" t="n">
        <v>0</v>
      </c>
      <c r="K103" t="inlineStr"/>
      <c r="L103" t="n">
        <v>0.95012</v>
      </c>
      <c r="M103" t="n">
        <v>0.95012</v>
      </c>
      <c r="N103" t="inlineStr">
        <is>
          <t>Yes</t>
        </is>
      </c>
      <c r="O103" t="inlineStr">
        <is>
          <t>equal</t>
        </is>
      </c>
      <c r="P103" t="inlineStr">
        <is>
          <t>deposited</t>
        </is>
      </c>
      <c r="Q103" t="inlineStr"/>
      <c r="R103" t="inlineStr"/>
      <c r="S103">
        <f>HYPERLINK("https://helical-indexing-hi3d.streamlit.app/?emd_id=emd-13853&amp;rise=4.67&amp;twist=-3.29&amp;csym=1&amp;rise2=4.67&amp;twist2=-3.29&amp;csym2=1", "Link")</f>
        <v/>
      </c>
    </row>
    <row r="104">
      <c r="A104" t="inlineStr">
        <is>
          <t>EMD-16881</t>
        </is>
      </c>
      <c r="B104" t="inlineStr">
        <is>
          <t>amyloid</t>
        </is>
      </c>
      <c r="C104" t="n">
        <v>2.8</v>
      </c>
      <c r="D104" t="n">
        <v>4.8</v>
      </c>
      <c r="E104" t="n">
        <v>-1.45</v>
      </c>
      <c r="F104" t="inlineStr">
        <is>
          <t>C1</t>
        </is>
      </c>
      <c r="G104" t="inlineStr">
        <is>
          <t>4.8</t>
        </is>
      </c>
      <c r="H104" t="n">
        <v>-1.45</v>
      </c>
      <c r="I104" t="inlineStr">
        <is>
          <t>C1</t>
        </is>
      </c>
      <c r="J104" t="n">
        <v>0</v>
      </c>
      <c r="K104" t="inlineStr"/>
      <c r="L104" t="n">
        <v>0.94143</v>
      </c>
      <c r="M104" t="n">
        <v>0.94143</v>
      </c>
      <c r="N104" t="inlineStr">
        <is>
          <t>Yes</t>
        </is>
      </c>
      <c r="O104" t="inlineStr">
        <is>
          <t>equal</t>
        </is>
      </c>
      <c r="P104" t="inlineStr">
        <is>
          <t>deposited</t>
        </is>
      </c>
      <c r="Q104" t="inlineStr"/>
      <c r="R104" t="inlineStr"/>
      <c r="S104">
        <f>HYPERLINK("https://helical-indexing-hi3d.streamlit.app/?emd_id=emd-16881&amp;rise=4.8&amp;twist=-1.45&amp;csym=1&amp;rise2=4.8&amp;twist2=-1.45&amp;csym2=1", "Link")</f>
        <v/>
      </c>
    </row>
    <row r="105">
      <c r="A105" t="inlineStr">
        <is>
          <t>EMD-16022</t>
        </is>
      </c>
      <c r="B105" t="inlineStr">
        <is>
          <t>amyloid</t>
        </is>
      </c>
      <c r="C105" t="n">
        <v>2.8</v>
      </c>
      <c r="D105" t="n">
        <v>4.8</v>
      </c>
      <c r="E105" t="n">
        <v>-2.92</v>
      </c>
      <c r="F105" t="inlineStr">
        <is>
          <t>C2</t>
        </is>
      </c>
      <c r="G105" t="inlineStr">
        <is>
          <t>4.8</t>
        </is>
      </c>
      <c r="H105" t="n">
        <v>-2.92</v>
      </c>
      <c r="I105" t="inlineStr">
        <is>
          <t>C2</t>
        </is>
      </c>
      <c r="J105" t="n">
        <v>0</v>
      </c>
      <c r="K105" t="inlineStr"/>
      <c r="L105" t="n">
        <v>0.95831</v>
      </c>
      <c r="M105" t="n">
        <v>0.95831</v>
      </c>
      <c r="N105" t="inlineStr">
        <is>
          <t>Yes</t>
        </is>
      </c>
      <c r="O105" t="inlineStr">
        <is>
          <t>equal</t>
        </is>
      </c>
      <c r="P105" t="inlineStr">
        <is>
          <t>deposited</t>
        </is>
      </c>
      <c r="Q105" t="inlineStr"/>
      <c r="R105" t="inlineStr"/>
      <c r="S105">
        <f>HYPERLINK("https://helical-indexing-hi3d.streamlit.app/?emd_id=emd-16022&amp;rise=4.8&amp;twist=-2.92&amp;csym=2&amp;rise2=4.8&amp;twist2=-2.92&amp;csym2=2", "Link")</f>
        <v/>
      </c>
    </row>
    <row r="106">
      <c r="A106" t="inlineStr">
        <is>
          <t>EMD-31702</t>
        </is>
      </c>
      <c r="B106" t="inlineStr">
        <is>
          <t>amyloid</t>
        </is>
      </c>
      <c r="C106" t="n">
        <v>2.8</v>
      </c>
      <c r="D106" t="n">
        <v>2.44</v>
      </c>
      <c r="E106" t="n">
        <v>179.44</v>
      </c>
      <c r="F106" t="inlineStr">
        <is>
          <t>C1</t>
        </is>
      </c>
      <c r="G106" t="inlineStr">
        <is>
          <t>2.44</t>
        </is>
      </c>
      <c r="H106" t="n">
        <v>179.44</v>
      </c>
      <c r="I106" t="inlineStr">
        <is>
          <t>C1</t>
        </is>
      </c>
      <c r="J106" t="n">
        <v>0</v>
      </c>
      <c r="K106" t="inlineStr"/>
      <c r="L106" t="n">
        <v>0.88296</v>
      </c>
      <c r="M106" t="n">
        <v>0.88296</v>
      </c>
      <c r="N106" t="inlineStr">
        <is>
          <t>Yes</t>
        </is>
      </c>
      <c r="O106" t="inlineStr">
        <is>
          <t>equal</t>
        </is>
      </c>
      <c r="P106" t="inlineStr">
        <is>
          <t>deposited</t>
        </is>
      </c>
      <c r="Q106" t="inlineStr"/>
      <c r="R106" t="inlineStr"/>
      <c r="S106">
        <f>HYPERLINK("https://helical-indexing-hi3d.streamlit.app/?emd_id=emd-31702&amp;rise=2.44&amp;twist=179.44&amp;csym=1&amp;rise2=2.44&amp;twist2=179.44&amp;csym2=1", "Link")</f>
        <v/>
      </c>
    </row>
    <row r="107">
      <c r="A107" t="inlineStr">
        <is>
          <t>EMD-20183</t>
        </is>
      </c>
      <c r="B107" t="inlineStr">
        <is>
          <t>amyloid</t>
        </is>
      </c>
      <c r="C107" t="n">
        <v>2.8</v>
      </c>
      <c r="D107" t="n">
        <v>2.4</v>
      </c>
      <c r="E107" t="n">
        <v>179.643</v>
      </c>
      <c r="F107" t="inlineStr">
        <is>
          <t>C1</t>
        </is>
      </c>
      <c r="G107" t="inlineStr">
        <is>
          <t>2.4</t>
        </is>
      </c>
      <c r="H107" t="n">
        <v>179.643</v>
      </c>
      <c r="I107" t="inlineStr">
        <is>
          <t>C1</t>
        </is>
      </c>
      <c r="J107" t="n">
        <v>0</v>
      </c>
      <c r="K107" t="inlineStr"/>
      <c r="L107" t="n">
        <v>0.78827</v>
      </c>
      <c r="M107" t="n">
        <v>0.78827</v>
      </c>
      <c r="N107" t="inlineStr">
        <is>
          <t>Yes</t>
        </is>
      </c>
      <c r="O107" t="inlineStr">
        <is>
          <t>equal</t>
        </is>
      </c>
      <c r="P107" t="inlineStr">
        <is>
          <t>deposited</t>
        </is>
      </c>
      <c r="Q107" t="inlineStr"/>
      <c r="R107" t="inlineStr"/>
      <c r="S107">
        <f>HYPERLINK("https://helical-indexing-hi3d.streamlit.app/?emd_id=emd-20183&amp;rise=2.4&amp;twist=179.643&amp;csym=1&amp;rise2=2.4&amp;twist2=179.643&amp;csym2=1", "Link")</f>
        <v/>
      </c>
    </row>
    <row r="108">
      <c r="A108" t="inlineStr">
        <is>
          <t>EMD-16603</t>
        </is>
      </c>
      <c r="B108" t="inlineStr">
        <is>
          <t>amyloid</t>
        </is>
      </c>
      <c r="C108" t="n">
        <v>2.8</v>
      </c>
      <c r="D108" t="n">
        <v>2.38</v>
      </c>
      <c r="E108" t="n">
        <v>-179.56</v>
      </c>
      <c r="F108" t="inlineStr">
        <is>
          <t>C1</t>
        </is>
      </c>
      <c r="G108" t="inlineStr">
        <is>
          <t>2.384</t>
        </is>
      </c>
      <c r="H108" t="n">
        <v>179.554</v>
      </c>
      <c r="I108" t="inlineStr">
        <is>
          <t>C1</t>
        </is>
      </c>
      <c r="J108" t="n">
        <v>0.3383026385716269</v>
      </c>
      <c r="K108" t="inlineStr"/>
      <c r="L108" t="n">
        <v>0.21568</v>
      </c>
      <c r="M108" t="n">
        <v>0.95697</v>
      </c>
      <c r="N108" t="inlineStr">
        <is>
          <t>Yes</t>
        </is>
      </c>
      <c r="O108" t="inlineStr">
        <is>
          <t>improve</t>
        </is>
      </c>
      <c r="P108" t="inlineStr">
        <is>
          <t>twist sign</t>
        </is>
      </c>
      <c r="Q108" t="inlineStr"/>
      <c r="R108" t="inlineStr"/>
      <c r="S108">
        <f>HYPERLINK("https://helical-indexing-hi3d.streamlit.app/?emd_id=emd-16603&amp;rise=2.384&amp;twist=179.554&amp;csym=1&amp;rise2=2.38&amp;twist2=-179.56&amp;csym2=1", "Link")</f>
        <v/>
      </c>
    </row>
    <row r="109">
      <c r="A109" t="inlineStr">
        <is>
          <t>EMD-33890</t>
        </is>
      </c>
      <c r="B109" t="inlineStr">
        <is>
          <t>amyloid</t>
        </is>
      </c>
      <c r="C109" t="n">
        <v>2.8</v>
      </c>
      <c r="D109" t="n">
        <v>2.424</v>
      </c>
      <c r="E109" t="n">
        <v>179.604</v>
      </c>
      <c r="F109" t="inlineStr">
        <is>
          <t>C1</t>
        </is>
      </c>
      <c r="G109" t="inlineStr">
        <is>
          <t>2.424</t>
        </is>
      </c>
      <c r="H109" t="n">
        <v>179.604</v>
      </c>
      <c r="I109" t="inlineStr">
        <is>
          <t>C1</t>
        </is>
      </c>
      <c r="J109" t="n">
        <v>0</v>
      </c>
      <c r="K109" t="inlineStr"/>
      <c r="L109" t="n">
        <v>0.93886</v>
      </c>
      <c r="M109" t="n">
        <v>0.93886</v>
      </c>
      <c r="N109" t="inlineStr">
        <is>
          <t>Yes</t>
        </is>
      </c>
      <c r="O109" t="inlineStr">
        <is>
          <t>equal</t>
        </is>
      </c>
      <c r="P109" t="inlineStr">
        <is>
          <t>deposited</t>
        </is>
      </c>
      <c r="Q109" t="inlineStr"/>
      <c r="R109" t="inlineStr"/>
      <c r="S109">
        <f>HYPERLINK("https://helical-indexing-hi3d.streamlit.app/?emd_id=emd-33890&amp;rise=2.424&amp;twist=179.604&amp;csym=1&amp;rise2=2.424&amp;twist2=179.604&amp;csym2=1", "Link")</f>
        <v/>
      </c>
    </row>
    <row r="110">
      <c r="A110" t="inlineStr">
        <is>
          <t>EMD-33884</t>
        </is>
      </c>
      <c r="B110" t="inlineStr">
        <is>
          <t>amyloid</t>
        </is>
      </c>
      <c r="C110" t="n">
        <v>2.8</v>
      </c>
      <c r="D110" t="n">
        <v>2.412</v>
      </c>
      <c r="E110" t="n">
        <v>179.634</v>
      </c>
      <c r="F110" t="inlineStr">
        <is>
          <t>C1</t>
        </is>
      </c>
      <c r="G110" t="inlineStr">
        <is>
          <t>2.412</t>
        </is>
      </c>
      <c r="H110" t="n">
        <v>179.634</v>
      </c>
      <c r="I110" t="inlineStr">
        <is>
          <t>C1</t>
        </is>
      </c>
      <c r="J110" t="n">
        <v>0</v>
      </c>
      <c r="K110" t="inlineStr"/>
      <c r="L110" t="n">
        <v>0.93886</v>
      </c>
      <c r="M110" t="n">
        <v>0.93886</v>
      </c>
      <c r="N110" t="inlineStr">
        <is>
          <t>Yes</t>
        </is>
      </c>
      <c r="O110" t="inlineStr">
        <is>
          <t>equal</t>
        </is>
      </c>
      <c r="P110" t="inlineStr">
        <is>
          <t>deposited</t>
        </is>
      </c>
      <c r="Q110" t="inlineStr"/>
      <c r="R110" t="inlineStr"/>
      <c r="S110">
        <f>HYPERLINK("https://helical-indexing-hi3d.streamlit.app/?emd_id=emd-33884&amp;rise=2.412&amp;twist=179.634&amp;csym=1&amp;rise2=2.412&amp;twist2=179.634&amp;csym2=1", "Link")</f>
        <v/>
      </c>
    </row>
    <row r="111">
      <c r="A111" t="inlineStr">
        <is>
          <t>EMD-33967</t>
        </is>
      </c>
      <c r="B111" t="inlineStr">
        <is>
          <t>amyloid</t>
        </is>
      </c>
      <c r="C111" t="n">
        <v>2.8</v>
      </c>
      <c r="D111" t="n">
        <v>2.41</v>
      </c>
      <c r="E111" t="n">
        <v>179.6</v>
      </c>
      <c r="F111" t="inlineStr">
        <is>
          <t>C1</t>
        </is>
      </c>
      <c r="G111" t="inlineStr">
        <is>
          <t>2.41</t>
        </is>
      </c>
      <c r="H111" t="n">
        <v>179.6</v>
      </c>
      <c r="I111" t="inlineStr">
        <is>
          <t>C1</t>
        </is>
      </c>
      <c r="J111" t="n">
        <v>0</v>
      </c>
      <c r="K111" t="inlineStr"/>
      <c r="L111" t="n">
        <v>0.94847</v>
      </c>
      <c r="M111" t="n">
        <v>0.94847</v>
      </c>
      <c r="N111" t="inlineStr">
        <is>
          <t>Yes</t>
        </is>
      </c>
      <c r="O111" t="inlineStr">
        <is>
          <t>equal</t>
        </is>
      </c>
      <c r="P111" t="inlineStr">
        <is>
          <t>deposited</t>
        </is>
      </c>
      <c r="Q111" t="inlineStr"/>
      <c r="R111" t="inlineStr"/>
      <c r="S111">
        <f>HYPERLINK("https://helical-indexing-hi3d.streamlit.app/?emd_id=emd-33967&amp;rise=2.41&amp;twist=179.6&amp;csym=1&amp;rise2=2.41&amp;twist2=179.6&amp;csym2=1", "Link")</f>
        <v/>
      </c>
    </row>
    <row r="112">
      <c r="A112" t="inlineStr">
        <is>
          <t>EMD-33968</t>
        </is>
      </c>
      <c r="B112" t="inlineStr">
        <is>
          <t>amyloid</t>
        </is>
      </c>
      <c r="C112" t="n">
        <v>2.8</v>
      </c>
      <c r="D112" t="n">
        <v>2.41</v>
      </c>
      <c r="E112" t="n">
        <v>179.6</v>
      </c>
      <c r="F112" t="inlineStr">
        <is>
          <t>C1</t>
        </is>
      </c>
      <c r="G112" t="inlineStr">
        <is>
          <t>2.41</t>
        </is>
      </c>
      <c r="H112" t="n">
        <v>179.6</v>
      </c>
      <c r="I112" t="inlineStr">
        <is>
          <t>C1</t>
        </is>
      </c>
      <c r="J112" t="n">
        <v>0</v>
      </c>
      <c r="K112" t="inlineStr"/>
      <c r="L112" t="n">
        <v>0.91909</v>
      </c>
      <c r="M112" t="n">
        <v>0.91909</v>
      </c>
      <c r="N112" t="inlineStr">
        <is>
          <t>Yes</t>
        </is>
      </c>
      <c r="O112" t="inlineStr">
        <is>
          <t>equal</t>
        </is>
      </c>
      <c r="P112" t="inlineStr">
        <is>
          <t>deposited</t>
        </is>
      </c>
      <c r="Q112" t="inlineStr"/>
      <c r="R112" t="inlineStr"/>
      <c r="S112">
        <f>HYPERLINK("https://helical-indexing-hi3d.streamlit.app/?emd_id=emd-33968&amp;rise=2.41&amp;twist=179.6&amp;csym=1&amp;rise2=2.41&amp;twist2=179.6&amp;csym2=1", "Link")</f>
        <v/>
      </c>
    </row>
    <row r="113">
      <c r="A113" t="inlineStr">
        <is>
          <t>EMD-15224</t>
        </is>
      </c>
      <c r="B113" t="inlineStr">
        <is>
          <t>amyloid</t>
        </is>
      </c>
      <c r="C113" t="n">
        <v>2.8</v>
      </c>
      <c r="D113" t="n">
        <v>4.85</v>
      </c>
      <c r="E113" t="n">
        <v>-0.73</v>
      </c>
      <c r="F113" t="inlineStr">
        <is>
          <t>C2</t>
        </is>
      </c>
      <c r="G113" t="inlineStr">
        <is>
          <t>4.85</t>
        </is>
      </c>
      <c r="H113" t="n">
        <v>-0.73</v>
      </c>
      <c r="I113" t="inlineStr">
        <is>
          <t>C2</t>
        </is>
      </c>
      <c r="J113" t="n">
        <v>0</v>
      </c>
      <c r="K113" t="inlineStr"/>
      <c r="L113" t="n">
        <v>0.97026</v>
      </c>
      <c r="M113" t="n">
        <v>0.97026</v>
      </c>
      <c r="N113" t="inlineStr">
        <is>
          <t>Yes</t>
        </is>
      </c>
      <c r="O113" t="inlineStr">
        <is>
          <t>equal</t>
        </is>
      </c>
      <c r="P113" t="inlineStr">
        <is>
          <t>deposited</t>
        </is>
      </c>
      <c r="Q113" t="inlineStr"/>
      <c r="R113" t="inlineStr"/>
      <c r="S113">
        <f>HYPERLINK("https://helical-indexing-hi3d.streamlit.app/?emd_id=emd-15224&amp;rise=4.85&amp;twist=-0.73&amp;csym=2&amp;rise2=4.85&amp;twist2=-0.73&amp;csym2=2", "Link")</f>
        <v/>
      </c>
    </row>
    <row r="114">
      <c r="A114" t="inlineStr">
        <is>
          <t>EMD-13809</t>
        </is>
      </c>
      <c r="B114" t="inlineStr">
        <is>
          <t>amyloid</t>
        </is>
      </c>
      <c r="C114" t="n">
        <v>2.8</v>
      </c>
      <c r="D114" t="n">
        <v>4.9</v>
      </c>
      <c r="E114" t="n">
        <v>-2.9</v>
      </c>
      <c r="F114" t="inlineStr">
        <is>
          <t>C2</t>
        </is>
      </c>
      <c r="G114" t="inlineStr">
        <is>
          <t>4.85</t>
        </is>
      </c>
      <c r="H114" t="n">
        <v>-2.85</v>
      </c>
      <c r="I114" t="inlineStr">
        <is>
          <t>C2</t>
        </is>
      </c>
      <c r="J114" t="n">
        <v>0.0538465156197545</v>
      </c>
      <c r="K114" t="inlineStr"/>
      <c r="L114" t="n">
        <v>0.90656</v>
      </c>
      <c r="M114" t="n">
        <v>0.93077</v>
      </c>
      <c r="N114" t="inlineStr">
        <is>
          <t>Yes</t>
        </is>
      </c>
      <c r="O114" t="inlineStr">
        <is>
          <t>improve</t>
        </is>
      </c>
      <c r="P114" t="inlineStr">
        <is>
          <t>adjusted decimals</t>
        </is>
      </c>
      <c r="Q114" t="inlineStr"/>
      <c r="R114" t="inlineStr"/>
      <c r="S114">
        <f>HYPERLINK("https://helical-indexing-hi3d.streamlit.app/?emd_id=emd-13809&amp;rise=4.85&amp;twist=-2.85&amp;csym=2&amp;rise2=4.9&amp;twist2=-2.9&amp;csym2=2", "Link")</f>
        <v/>
      </c>
    </row>
    <row r="115">
      <c r="A115" t="inlineStr">
        <is>
          <t>EMD-14045</t>
        </is>
      </c>
      <c r="B115" t="inlineStr">
        <is>
          <t>amyloid</t>
        </is>
      </c>
      <c r="C115" t="n">
        <v>2.8</v>
      </c>
      <c r="D115" t="n">
        <v>4.77</v>
      </c>
      <c r="E115" t="n">
        <v>-1.29</v>
      </c>
      <c r="F115" t="inlineStr">
        <is>
          <t>C1</t>
        </is>
      </c>
      <c r="G115" t="inlineStr">
        <is>
          <t>4.77</t>
        </is>
      </c>
      <c r="H115" t="n">
        <v>-1.29</v>
      </c>
      <c r="I115" t="inlineStr">
        <is>
          <t>C1</t>
        </is>
      </c>
      <c r="J115" t="n">
        <v>0</v>
      </c>
      <c r="K115" t="inlineStr"/>
      <c r="L115" t="n">
        <v>0.95934</v>
      </c>
      <c r="M115" t="n">
        <v>0.95934</v>
      </c>
      <c r="N115" t="inlineStr">
        <is>
          <t>Yes</t>
        </is>
      </c>
      <c r="O115" t="inlineStr">
        <is>
          <t>equal</t>
        </is>
      </c>
      <c r="P115" t="inlineStr">
        <is>
          <t>deposited</t>
        </is>
      </c>
      <c r="Q115" t="inlineStr"/>
      <c r="R115" t="inlineStr"/>
      <c r="S115">
        <f>HYPERLINK("https://helical-indexing-hi3d.streamlit.app/?emd_id=emd-14045&amp;rise=4.77&amp;twist=-1.29&amp;csym=1&amp;rise2=4.77&amp;twist2=-1.29&amp;csym2=1", "Link")</f>
        <v/>
      </c>
    </row>
    <row r="116">
      <c r="A116" t="inlineStr">
        <is>
          <t>EMD-30235</t>
        </is>
      </c>
      <c r="B116" t="inlineStr">
        <is>
          <t>amyloid</t>
        </is>
      </c>
      <c r="C116" t="n">
        <v>2.8</v>
      </c>
      <c r="D116" t="n">
        <v>2.371</v>
      </c>
      <c r="E116" t="n">
        <v>179.054</v>
      </c>
      <c r="F116" t="inlineStr">
        <is>
          <t>C1</t>
        </is>
      </c>
      <c r="G116" t="inlineStr">
        <is>
          <t>2.371</t>
        </is>
      </c>
      <c r="H116" t="n">
        <v>179.054</v>
      </c>
      <c r="I116" t="inlineStr">
        <is>
          <t>C1</t>
        </is>
      </c>
      <c r="J116" t="n">
        <v>0</v>
      </c>
      <c r="K116" t="inlineStr"/>
      <c r="L116" t="n">
        <v>0.86521</v>
      </c>
      <c r="M116" t="n">
        <v>0.86521</v>
      </c>
      <c r="N116" t="inlineStr">
        <is>
          <t>Yes</t>
        </is>
      </c>
      <c r="O116" t="inlineStr">
        <is>
          <t>equal</t>
        </is>
      </c>
      <c r="P116" t="inlineStr">
        <is>
          <t>deposited</t>
        </is>
      </c>
      <c r="Q116" t="inlineStr"/>
      <c r="R116" t="inlineStr"/>
      <c r="S116">
        <f>HYPERLINK("https://helical-indexing-hi3d.streamlit.app/?emd_id=emd-30235&amp;rise=2.371&amp;twist=179.054&amp;csym=1&amp;rise2=2.371&amp;twist2=179.054&amp;csym2=1", "Link")</f>
        <v/>
      </c>
    </row>
    <row r="117">
      <c r="A117" t="inlineStr">
        <is>
          <t>EMD-14024</t>
        </is>
      </c>
      <c r="B117" t="inlineStr">
        <is>
          <t>amyloid</t>
        </is>
      </c>
      <c r="C117" t="n">
        <v>2.81</v>
      </c>
      <c r="D117" t="n">
        <v>2.43</v>
      </c>
      <c r="E117" t="n">
        <v>179.44</v>
      </c>
      <c r="F117" t="inlineStr">
        <is>
          <t>C1</t>
        </is>
      </c>
      <c r="G117" t="inlineStr">
        <is>
          <t>2.43</t>
        </is>
      </c>
      <c r="H117" t="n">
        <v>179.44</v>
      </c>
      <c r="I117" t="inlineStr">
        <is>
          <t>C1</t>
        </is>
      </c>
      <c r="J117" t="n">
        <v>0</v>
      </c>
      <c r="K117" t="inlineStr"/>
      <c r="L117" t="n">
        <v>0.9337800000000001</v>
      </c>
      <c r="M117" t="n">
        <v>0.9337800000000001</v>
      </c>
      <c r="N117" t="inlineStr">
        <is>
          <t>Yes</t>
        </is>
      </c>
      <c r="O117" t="inlineStr">
        <is>
          <t>equal</t>
        </is>
      </c>
      <c r="P117" t="inlineStr">
        <is>
          <t>deposited</t>
        </is>
      </c>
      <c r="Q117" t="inlineStr"/>
      <c r="R117" t="inlineStr"/>
      <c r="S117">
        <f>HYPERLINK("https://helical-indexing-hi3d.streamlit.app/?emd_id=emd-14024&amp;rise=2.43&amp;twist=179.44&amp;csym=1&amp;rise2=2.43&amp;twist2=179.44&amp;csym2=1", "Link")</f>
        <v/>
      </c>
    </row>
    <row r="118">
      <c r="A118" t="inlineStr">
        <is>
          <t>EMD-18219</t>
        </is>
      </c>
      <c r="B118" t="inlineStr">
        <is>
          <t>amyloid</t>
        </is>
      </c>
      <c r="C118" t="n">
        <v>2.82</v>
      </c>
      <c r="D118" t="n">
        <v>4.74</v>
      </c>
      <c r="E118" t="n">
        <v>-1.06</v>
      </c>
      <c r="F118" t="inlineStr">
        <is>
          <t>C1</t>
        </is>
      </c>
      <c r="G118" t="inlineStr">
        <is>
          <t>4.74</t>
        </is>
      </c>
      <c r="H118" t="n">
        <v>-1.06</v>
      </c>
      <c r="I118" t="inlineStr">
        <is>
          <t>C1</t>
        </is>
      </c>
      <c r="J118" t="n">
        <v>0</v>
      </c>
      <c r="K118" t="inlineStr"/>
      <c r="L118" t="n">
        <v>0.94807</v>
      </c>
      <c r="M118" t="n">
        <v>0.94807</v>
      </c>
      <c r="N118" t="inlineStr">
        <is>
          <t>Yes</t>
        </is>
      </c>
      <c r="O118" t="inlineStr">
        <is>
          <t>equal</t>
        </is>
      </c>
      <c r="P118" t="inlineStr">
        <is>
          <t>deposited</t>
        </is>
      </c>
      <c r="Q118" t="inlineStr"/>
      <c r="R118" t="inlineStr"/>
      <c r="S118">
        <f>HYPERLINK("https://helical-indexing-hi3d.streamlit.app/?emd_id=emd-18219&amp;rise=4.74&amp;twist=-1.06&amp;csym=1&amp;rise2=4.74&amp;twist2=-1.06&amp;csym2=1", "Link")</f>
        <v/>
      </c>
    </row>
    <row r="119">
      <c r="A119" t="inlineStr">
        <is>
          <t>EMD-28740</t>
        </is>
      </c>
      <c r="B119" t="inlineStr">
        <is>
          <t>amyloid</t>
        </is>
      </c>
      <c r="C119" t="n">
        <v>2.83</v>
      </c>
      <c r="D119" t="n">
        <v>2.46</v>
      </c>
      <c r="E119" t="n">
        <v>-179.09</v>
      </c>
      <c r="F119" t="inlineStr">
        <is>
          <t>C1</t>
        </is>
      </c>
      <c r="G119" t="inlineStr">
        <is>
          <t>2.46984</t>
        </is>
      </c>
      <c r="H119" t="n">
        <v>-179.09</v>
      </c>
      <c r="I119" t="inlineStr">
        <is>
          <t>C1</t>
        </is>
      </c>
      <c r="J119" t="n">
        <v>0.00984</v>
      </c>
      <c r="K119" t="inlineStr"/>
      <c r="L119" t="n">
        <v>0.73377</v>
      </c>
      <c r="M119" t="n">
        <v>0.7371799999999999</v>
      </c>
      <c r="N119" t="inlineStr">
        <is>
          <t>No</t>
        </is>
      </c>
      <c r="O119" t="inlineStr">
        <is>
          <t>improve</t>
        </is>
      </c>
      <c r="P119" t="inlineStr">
        <is>
          <t>adjusted decimals</t>
        </is>
      </c>
      <c r="Q119" t="inlineStr"/>
      <c r="R119" t="inlineStr"/>
      <c r="S119">
        <f>HYPERLINK("https://helical-indexing-hi3d.streamlit.app/?emd_id=emd-28740&amp;rise=2.46984&amp;twist=-179.09&amp;csym=1&amp;rise2=2.46&amp;twist2=-179.09&amp;csym2=1", "Link")</f>
        <v/>
      </c>
    </row>
    <row r="120">
      <c r="A120" t="inlineStr">
        <is>
          <t>EMD-14040</t>
        </is>
      </c>
      <c r="B120" t="inlineStr">
        <is>
          <t>amyloid</t>
        </is>
      </c>
      <c r="C120" t="n">
        <v>2.83</v>
      </c>
      <c r="D120" t="n">
        <v>4.8</v>
      </c>
      <c r="E120" t="n">
        <v>-1.69</v>
      </c>
      <c r="F120" t="inlineStr">
        <is>
          <t>C1</t>
        </is>
      </c>
      <c r="G120" t="inlineStr">
        <is>
          <t>4.8</t>
        </is>
      </c>
      <c r="H120" t="n">
        <v>-1.69</v>
      </c>
      <c r="I120" t="inlineStr">
        <is>
          <t>C1</t>
        </is>
      </c>
      <c r="J120" t="n">
        <v>0</v>
      </c>
      <c r="K120" t="inlineStr"/>
      <c r="L120" t="n">
        <v>0.96271</v>
      </c>
      <c r="M120" t="n">
        <v>0.96271</v>
      </c>
      <c r="N120" t="inlineStr">
        <is>
          <t>Yes</t>
        </is>
      </c>
      <c r="O120" t="inlineStr">
        <is>
          <t>equal</t>
        </is>
      </c>
      <c r="P120" t="inlineStr">
        <is>
          <t>deposited</t>
        </is>
      </c>
      <c r="Q120" t="inlineStr"/>
      <c r="R120" t="inlineStr"/>
      <c r="S120">
        <f>HYPERLINK("https://helical-indexing-hi3d.streamlit.app/?emd_id=emd-14040&amp;rise=4.8&amp;twist=-1.69&amp;csym=1&amp;rise2=4.8&amp;twist2=-1.69&amp;csym2=1", "Link")</f>
        <v/>
      </c>
    </row>
    <row r="121">
      <c r="A121" t="inlineStr">
        <is>
          <t>EMD-41195</t>
        </is>
      </c>
      <c r="B121" t="inlineStr">
        <is>
          <t>amyloid</t>
        </is>
      </c>
      <c r="C121" t="n">
        <v>2.84</v>
      </c>
      <c r="D121" t="n">
        <v>4.93</v>
      </c>
      <c r="E121" t="n">
        <v>-3.07</v>
      </c>
      <c r="F121" t="inlineStr">
        <is>
          <t>C1</t>
        </is>
      </c>
      <c r="G121" t="inlineStr">
        <is>
          <t>4.93</t>
        </is>
      </c>
      <c r="H121" t="n">
        <v>-3.07</v>
      </c>
      <c r="I121" t="inlineStr">
        <is>
          <t>C1</t>
        </is>
      </c>
      <c r="J121" t="n">
        <v>0</v>
      </c>
      <c r="K121" t="inlineStr">
        <is>
          <t>z -&gt; x</t>
        </is>
      </c>
      <c r="L121" t="n">
        <v>0.81933</v>
      </c>
      <c r="M121" t="n">
        <v>0.81933</v>
      </c>
      <c r="N121" t="inlineStr">
        <is>
          <t>Yes</t>
        </is>
      </c>
      <c r="O121" t="inlineStr">
        <is>
          <t>equal</t>
        </is>
      </c>
      <c r="P121" t="inlineStr">
        <is>
          <t>deposited</t>
        </is>
      </c>
      <c r="Q121" t="inlineStr"/>
      <c r="R121" t="inlineStr"/>
      <c r="S121">
        <f>HYPERLINK("https://helical-indexing-hi3d.streamlit.app/?emd_id=emd-41195&amp;rise=4.93&amp;twist=-3.07&amp;csym=1&amp;rise2=4.93&amp;twist2=-3.07&amp;csym2=1", "Link")</f>
        <v/>
      </c>
    </row>
    <row r="122">
      <c r="A122" t="inlineStr">
        <is>
          <t>EMD-18263</t>
        </is>
      </c>
      <c r="B122" t="inlineStr">
        <is>
          <t>amyloid</t>
        </is>
      </c>
      <c r="C122" t="n">
        <v>2.85</v>
      </c>
      <c r="D122" t="n">
        <v>4.73</v>
      </c>
      <c r="E122" t="n">
        <v>-1.09</v>
      </c>
      <c r="F122" t="inlineStr">
        <is>
          <t>C1</t>
        </is>
      </c>
      <c r="G122" t="inlineStr">
        <is>
          <t>4.73</t>
        </is>
      </c>
      <c r="H122" t="n">
        <v>-1.09</v>
      </c>
      <c r="I122" t="inlineStr">
        <is>
          <t>C1</t>
        </is>
      </c>
      <c r="J122" t="n">
        <v>0</v>
      </c>
      <c r="K122" t="inlineStr"/>
      <c r="L122" t="n">
        <v>0.95884</v>
      </c>
      <c r="M122" t="n">
        <v>0.95884</v>
      </c>
      <c r="N122" t="inlineStr">
        <is>
          <t>Yes</t>
        </is>
      </c>
      <c r="O122" t="inlineStr">
        <is>
          <t>equal</t>
        </is>
      </c>
      <c r="P122" t="inlineStr">
        <is>
          <t>deposited</t>
        </is>
      </c>
      <c r="Q122" t="inlineStr"/>
      <c r="R122" t="inlineStr"/>
      <c r="S122">
        <f>HYPERLINK("https://helical-indexing-hi3d.streamlit.app/?emd_id=emd-18263&amp;rise=4.73&amp;twist=-1.09&amp;csym=1&amp;rise2=4.73&amp;twist2=-1.09&amp;csym2=1", "Link")</f>
        <v/>
      </c>
    </row>
    <row r="123">
      <c r="A123" t="inlineStr">
        <is>
          <t>EMD-24514</t>
        </is>
      </c>
      <c r="B123" t="inlineStr">
        <is>
          <t>amyloid</t>
        </is>
      </c>
      <c r="C123" t="n">
        <v>2.86</v>
      </c>
      <c r="D123" t="n">
        <v>4.71</v>
      </c>
      <c r="E123" t="n">
        <v>-2.41</v>
      </c>
      <c r="F123" t="inlineStr">
        <is>
          <t>C2</t>
        </is>
      </c>
      <c r="G123" t="inlineStr">
        <is>
          <t>4.71</t>
        </is>
      </c>
      <c r="H123" t="n">
        <v>-2.41</v>
      </c>
      <c r="I123" t="inlineStr">
        <is>
          <t>C2</t>
        </is>
      </c>
      <c r="J123" t="n">
        <v>0</v>
      </c>
      <c r="K123" t="inlineStr"/>
      <c r="L123" t="n">
        <v>0.82975</v>
      </c>
      <c r="M123" t="n">
        <v>0.82975</v>
      </c>
      <c r="N123" t="inlineStr">
        <is>
          <t>Yes</t>
        </is>
      </c>
      <c r="O123" t="inlineStr">
        <is>
          <t>equal</t>
        </is>
      </c>
      <c r="P123" t="inlineStr">
        <is>
          <t>deposited</t>
        </is>
      </c>
      <c r="Q123" t="inlineStr"/>
      <c r="R123" t="inlineStr"/>
      <c r="S123">
        <f>HYPERLINK("https://helical-indexing-hi3d.streamlit.app/?emd_id=emd-24514&amp;rise=4.71&amp;twist=-2.41&amp;csym=2&amp;rise2=4.71&amp;twist2=-2.41&amp;csym2=2", "Link")</f>
        <v/>
      </c>
    </row>
    <row r="124">
      <c r="A124" t="inlineStr">
        <is>
          <t>EMD-16930</t>
        </is>
      </c>
      <c r="B124" t="inlineStr">
        <is>
          <t>amyloid</t>
        </is>
      </c>
      <c r="C124" t="n">
        <v>2.86</v>
      </c>
      <c r="D124" t="n">
        <v>4.8</v>
      </c>
      <c r="E124" t="n">
        <v>-2.61</v>
      </c>
      <c r="F124" t="inlineStr">
        <is>
          <t>C2</t>
        </is>
      </c>
      <c r="G124" t="inlineStr">
        <is>
          <t>4.8</t>
        </is>
      </c>
      <c r="H124" t="n">
        <v>-2.61</v>
      </c>
      <c r="I124" t="inlineStr">
        <is>
          <t>C2</t>
        </is>
      </c>
      <c r="J124" t="n">
        <v>0</v>
      </c>
      <c r="K124" t="inlineStr"/>
      <c r="L124" t="n">
        <v>0.76145</v>
      </c>
      <c r="M124" t="n">
        <v>0.76145</v>
      </c>
      <c r="N124" t="inlineStr">
        <is>
          <t>Yes</t>
        </is>
      </c>
      <c r="O124" t="inlineStr">
        <is>
          <t>equal</t>
        </is>
      </c>
      <c r="P124" t="inlineStr">
        <is>
          <t>deposited</t>
        </is>
      </c>
      <c r="Q124" t="inlineStr"/>
      <c r="R124" t="inlineStr"/>
      <c r="S124">
        <f>HYPERLINK("https://helical-indexing-hi3d.streamlit.app/?emd_id=emd-16930&amp;rise=4.8&amp;twist=-2.61&amp;csym=2&amp;rise2=4.8&amp;twist2=-2.61&amp;csym2=2", "Link")</f>
        <v/>
      </c>
    </row>
    <row r="125">
      <c r="A125" t="inlineStr">
        <is>
          <t>EMD-29036</t>
        </is>
      </c>
      <c r="B125" t="inlineStr">
        <is>
          <t>amyloid</t>
        </is>
      </c>
      <c r="C125" t="n">
        <v>2.87</v>
      </c>
      <c r="D125" t="n">
        <v>2.44</v>
      </c>
      <c r="E125" t="n">
        <v>-178.83</v>
      </c>
      <c r="F125" t="inlineStr">
        <is>
          <t>C1</t>
        </is>
      </c>
      <c r="G125" t="inlineStr">
        <is>
          <t>2.44</t>
        </is>
      </c>
      <c r="H125" t="n">
        <v>-178.83</v>
      </c>
      <c r="I125" t="inlineStr">
        <is>
          <t>C1</t>
        </is>
      </c>
      <c r="J125" t="n">
        <v>0</v>
      </c>
      <c r="K125" t="inlineStr"/>
      <c r="L125" t="n">
        <v>0.80018</v>
      </c>
      <c r="M125" t="n">
        <v>0.80018</v>
      </c>
      <c r="N125" t="inlineStr">
        <is>
          <t>Yes</t>
        </is>
      </c>
      <c r="O125" t="inlineStr">
        <is>
          <t>equal</t>
        </is>
      </c>
      <c r="P125" t="inlineStr">
        <is>
          <t>deposited</t>
        </is>
      </c>
      <c r="Q125" t="inlineStr"/>
      <c r="R125" t="inlineStr"/>
      <c r="S125">
        <f>HYPERLINK("https://helical-indexing-hi3d.streamlit.app/?emd_id=emd-29036&amp;rise=2.44&amp;twist=-178.83&amp;csym=1&amp;rise2=2.44&amp;twist2=-178.83&amp;csym2=1", "Link")</f>
        <v/>
      </c>
    </row>
    <row r="126">
      <c r="A126" t="inlineStr">
        <is>
          <t>EMD-18265</t>
        </is>
      </c>
      <c r="B126" t="inlineStr">
        <is>
          <t>amyloid</t>
        </is>
      </c>
      <c r="C126" t="n">
        <v>2.88</v>
      </c>
      <c r="D126" t="n">
        <v>4.71</v>
      </c>
      <c r="E126" t="n">
        <v>-1.12</v>
      </c>
      <c r="F126" t="inlineStr">
        <is>
          <t>C1</t>
        </is>
      </c>
      <c r="G126" t="inlineStr">
        <is>
          <t>4.71</t>
        </is>
      </c>
      <c r="H126" t="n">
        <v>-1.12</v>
      </c>
      <c r="I126" t="inlineStr">
        <is>
          <t>C1</t>
        </is>
      </c>
      <c r="J126" t="n">
        <v>0</v>
      </c>
      <c r="K126" t="inlineStr"/>
      <c r="L126" t="n">
        <v>0.9658600000000001</v>
      </c>
      <c r="M126" t="n">
        <v>0.9658600000000001</v>
      </c>
      <c r="N126" t="inlineStr">
        <is>
          <t>Yes</t>
        </is>
      </c>
      <c r="O126" t="inlineStr">
        <is>
          <t>equal</t>
        </is>
      </c>
      <c r="P126" t="inlineStr">
        <is>
          <t>deposited</t>
        </is>
      </c>
      <c r="Q126" t="inlineStr"/>
      <c r="R126" t="inlineStr"/>
      <c r="S126">
        <f>HYPERLINK("https://helical-indexing-hi3d.streamlit.app/?emd_id=emd-18265&amp;rise=4.71&amp;twist=-1.12&amp;csym=1&amp;rise2=4.71&amp;twist2=-1.12&amp;csym2=1", "Link")</f>
        <v/>
      </c>
    </row>
    <row r="127">
      <c r="A127" t="inlineStr">
        <is>
          <t>EMD-18111</t>
        </is>
      </c>
      <c r="B127" t="inlineStr">
        <is>
          <t>amyloid</t>
        </is>
      </c>
      <c r="C127" t="n">
        <v>2.88</v>
      </c>
      <c r="D127" t="n">
        <v>4.75</v>
      </c>
      <c r="E127" t="n">
        <v>-1.29</v>
      </c>
      <c r="F127" t="inlineStr">
        <is>
          <t>C1</t>
        </is>
      </c>
      <c r="G127" t="inlineStr">
        <is>
          <t>4.75</t>
        </is>
      </c>
      <c r="H127" t="n">
        <v>-1.29</v>
      </c>
      <c r="I127" t="inlineStr">
        <is>
          <t>C1</t>
        </is>
      </c>
      <c r="J127" t="n">
        <v>0</v>
      </c>
      <c r="K127" t="inlineStr"/>
      <c r="L127" t="n">
        <v>0.96741</v>
      </c>
      <c r="M127" t="n">
        <v>0.96741</v>
      </c>
      <c r="N127" t="inlineStr">
        <is>
          <t>Yes</t>
        </is>
      </c>
      <c r="O127" t="inlineStr">
        <is>
          <t>equal</t>
        </is>
      </c>
      <c r="P127" t="inlineStr">
        <is>
          <t>deposited</t>
        </is>
      </c>
      <c r="Q127" t="inlineStr"/>
      <c r="R127" t="inlineStr"/>
      <c r="S127">
        <f>HYPERLINK("https://helical-indexing-hi3d.streamlit.app/?emd_id=emd-18111&amp;rise=4.75&amp;twist=-1.29&amp;csym=1&amp;rise2=4.75&amp;twist2=-1.29&amp;csym2=1", "Link")</f>
        <v/>
      </c>
    </row>
    <row r="128">
      <c r="A128" t="inlineStr">
        <is>
          <t>EMD-27089</t>
        </is>
      </c>
      <c r="B128" t="inlineStr">
        <is>
          <t>amyloid</t>
        </is>
      </c>
      <c r="C128" t="n">
        <v>2.9</v>
      </c>
      <c r="D128" t="n">
        <v>2.4</v>
      </c>
      <c r="E128" t="n">
        <v>179.62</v>
      </c>
      <c r="F128" t="inlineStr">
        <is>
          <t>C1</t>
        </is>
      </c>
      <c r="G128" t="inlineStr">
        <is>
          <t>2.4</t>
        </is>
      </c>
      <c r="H128" t="n">
        <v>179.62</v>
      </c>
      <c r="I128" t="inlineStr">
        <is>
          <t>C1</t>
        </is>
      </c>
      <c r="J128" t="n">
        <v>0</v>
      </c>
      <c r="K128" t="inlineStr"/>
      <c r="L128" t="n">
        <v>0.78506</v>
      </c>
      <c r="M128" t="n">
        <v>0.78506</v>
      </c>
      <c r="N128" t="inlineStr">
        <is>
          <t>Yes</t>
        </is>
      </c>
      <c r="O128" t="inlineStr">
        <is>
          <t>equal</t>
        </is>
      </c>
      <c r="P128" t="inlineStr">
        <is>
          <t>deposited</t>
        </is>
      </c>
      <c r="Q128" t="inlineStr"/>
      <c r="R128" t="inlineStr"/>
      <c r="S128">
        <f>HYPERLINK("https://helical-indexing-hi3d.streamlit.app/?emd_id=emd-27089&amp;rise=2.4&amp;twist=179.62&amp;csym=1&amp;rise2=2.4&amp;twist2=179.62&amp;csym2=1", "Link")</f>
        <v/>
      </c>
    </row>
    <row r="129">
      <c r="A129" t="inlineStr">
        <is>
          <t>EMD-33966</t>
        </is>
      </c>
      <c r="B129" t="inlineStr">
        <is>
          <t>amyloid</t>
        </is>
      </c>
      <c r="C129" t="n">
        <v>2.9</v>
      </c>
      <c r="D129" t="n">
        <v>4.83</v>
      </c>
      <c r="E129" t="n">
        <v>179.19</v>
      </c>
      <c r="F129" t="inlineStr">
        <is>
          <t>C1</t>
        </is>
      </c>
      <c r="G129" t="inlineStr">
        <is>
          <t>4.83</t>
        </is>
      </c>
      <c r="H129" t="n">
        <v>179.19</v>
      </c>
      <c r="I129" t="inlineStr">
        <is>
          <t>C1</t>
        </is>
      </c>
      <c r="J129" t="n">
        <v>0</v>
      </c>
      <c r="K129" t="inlineStr"/>
      <c r="L129" t="n">
        <v>0.93847</v>
      </c>
      <c r="M129" t="n">
        <v>0.93847</v>
      </c>
      <c r="N129" t="inlineStr">
        <is>
          <t>Yes</t>
        </is>
      </c>
      <c r="O129" t="inlineStr">
        <is>
          <t>equal</t>
        </is>
      </c>
      <c r="P129" t="inlineStr">
        <is>
          <t>deposited</t>
        </is>
      </c>
      <c r="Q129" t="inlineStr"/>
      <c r="R129" t="inlineStr"/>
      <c r="S129">
        <f>HYPERLINK("https://helical-indexing-hi3d.streamlit.app/?emd_id=emd-33966&amp;rise=4.83&amp;twist=179.19&amp;csym=1&amp;rise2=4.83&amp;twist2=179.19&amp;csym2=1", "Link")</f>
        <v/>
      </c>
    </row>
    <row r="130">
      <c r="A130" t="inlineStr">
        <is>
          <t>EMD-33969</t>
        </is>
      </c>
      <c r="B130" t="inlineStr">
        <is>
          <t>amyloid</t>
        </is>
      </c>
      <c r="C130" t="n">
        <v>2.9</v>
      </c>
      <c r="D130" t="n">
        <v>2.4</v>
      </c>
      <c r="E130" t="n">
        <v>179.6</v>
      </c>
      <c r="F130" t="inlineStr">
        <is>
          <t>C1</t>
        </is>
      </c>
      <c r="G130" t="inlineStr">
        <is>
          <t>2.4</t>
        </is>
      </c>
      <c r="H130" t="n">
        <v>179.6</v>
      </c>
      <c r="I130" t="inlineStr">
        <is>
          <t>C1</t>
        </is>
      </c>
      <c r="J130" t="n">
        <v>0</v>
      </c>
      <c r="K130" t="inlineStr"/>
      <c r="L130" t="n">
        <v>0.95742</v>
      </c>
      <c r="M130" t="n">
        <v>0.95742</v>
      </c>
      <c r="N130" t="inlineStr">
        <is>
          <t>Yes</t>
        </is>
      </c>
      <c r="O130" t="inlineStr">
        <is>
          <t>equal</t>
        </is>
      </c>
      <c r="P130" t="inlineStr">
        <is>
          <t>deposited</t>
        </is>
      </c>
      <c r="Q130" t="inlineStr"/>
      <c r="R130" t="inlineStr"/>
      <c r="S130">
        <f>HYPERLINK("https://helical-indexing-hi3d.streamlit.app/?emd_id=emd-33969&amp;rise=2.4&amp;twist=179.6&amp;csym=1&amp;rise2=2.4&amp;twist2=179.6&amp;csym2=1", "Link")</f>
        <v/>
      </c>
    </row>
    <row r="131">
      <c r="A131" t="inlineStr">
        <is>
          <t>EMD-13221</t>
        </is>
      </c>
      <c r="B131" t="inlineStr">
        <is>
          <t>amyloid</t>
        </is>
      </c>
      <c r="C131" t="n">
        <v>2.9</v>
      </c>
      <c r="D131" t="n">
        <v>4.75</v>
      </c>
      <c r="E131" t="n">
        <v>-0.73</v>
      </c>
      <c r="F131" t="inlineStr">
        <is>
          <t>C1</t>
        </is>
      </c>
      <c r="G131" t="inlineStr">
        <is>
          <t>4.75</t>
        </is>
      </c>
      <c r="H131" t="n">
        <v>-0.73</v>
      </c>
      <c r="I131" t="inlineStr">
        <is>
          <t>C1</t>
        </is>
      </c>
      <c r="J131" t="n">
        <v>0</v>
      </c>
      <c r="K131" t="inlineStr"/>
      <c r="L131" t="n">
        <v>0.95688</v>
      </c>
      <c r="M131" t="n">
        <v>0.95688</v>
      </c>
      <c r="N131" t="inlineStr">
        <is>
          <t>Yes</t>
        </is>
      </c>
      <c r="O131" t="inlineStr">
        <is>
          <t>equal</t>
        </is>
      </c>
      <c r="P131" t="inlineStr">
        <is>
          <t>deposited</t>
        </is>
      </c>
      <c r="Q131" t="inlineStr"/>
      <c r="R131" t="inlineStr"/>
      <c r="S131">
        <f>HYPERLINK("https://helical-indexing-hi3d.streamlit.app/?emd_id=emd-13221&amp;rise=4.75&amp;twist=-0.73&amp;csym=1&amp;rise2=4.75&amp;twist2=-0.73&amp;csym2=1", "Link")</f>
        <v/>
      </c>
    </row>
    <row r="132">
      <c r="A132" t="inlineStr">
        <is>
          <t>EMD-15756</t>
        </is>
      </c>
      <c r="B132" t="inlineStr">
        <is>
          <t>amyloid</t>
        </is>
      </c>
      <c r="C132" t="n">
        <v>2.9</v>
      </c>
      <c r="D132" t="n">
        <v>2.41</v>
      </c>
      <c r="E132" t="n">
        <v>178.88</v>
      </c>
      <c r="F132" t="inlineStr">
        <is>
          <t>C1</t>
        </is>
      </c>
      <c r="G132" t="inlineStr">
        <is>
          <t>2.41</t>
        </is>
      </c>
      <c r="H132" t="n">
        <v>178.88</v>
      </c>
      <c r="I132" t="inlineStr">
        <is>
          <t>C1</t>
        </is>
      </c>
      <c r="J132" t="n">
        <v>0</v>
      </c>
      <c r="K132" t="inlineStr"/>
      <c r="L132" t="n">
        <v>0.94756</v>
      </c>
      <c r="M132" t="n">
        <v>0.94756</v>
      </c>
      <c r="N132" t="inlineStr">
        <is>
          <t>Yes</t>
        </is>
      </c>
      <c r="O132" t="inlineStr">
        <is>
          <t>equal</t>
        </is>
      </c>
      <c r="P132" t="inlineStr">
        <is>
          <t>deposited</t>
        </is>
      </c>
      <c r="Q132" t="inlineStr"/>
      <c r="R132" t="inlineStr"/>
      <c r="S132">
        <f>HYPERLINK("https://helical-indexing-hi3d.streamlit.app/?emd_id=emd-15756&amp;rise=2.41&amp;twist=178.88&amp;csym=1&amp;rise2=2.41&amp;twist2=178.88&amp;csym2=1", "Link")</f>
        <v/>
      </c>
    </row>
    <row r="133">
      <c r="A133" t="inlineStr">
        <is>
          <t>EMD-26276</t>
        </is>
      </c>
      <c r="B133" t="inlineStr">
        <is>
          <t>amyloid</t>
        </is>
      </c>
      <c r="C133" t="n">
        <v>2.9</v>
      </c>
      <c r="D133" t="n">
        <v>4.8</v>
      </c>
      <c r="E133" t="n">
        <v>-0.4</v>
      </c>
      <c r="F133" t="inlineStr">
        <is>
          <t>C1</t>
        </is>
      </c>
      <c r="G133" t="inlineStr">
        <is>
          <t>4.8</t>
        </is>
      </c>
      <c r="H133" t="n">
        <v>-0.4</v>
      </c>
      <c r="I133" t="inlineStr">
        <is>
          <t>C1</t>
        </is>
      </c>
      <c r="J133" t="n">
        <v>0</v>
      </c>
      <c r="K133" t="inlineStr"/>
      <c r="L133" t="n">
        <v>0.95701</v>
      </c>
      <c r="M133" t="n">
        <v>0.95701</v>
      </c>
      <c r="N133" t="inlineStr">
        <is>
          <t>Yes</t>
        </is>
      </c>
      <c r="O133" t="inlineStr">
        <is>
          <t>equal</t>
        </is>
      </c>
      <c r="P133" t="inlineStr">
        <is>
          <t>deposited</t>
        </is>
      </c>
      <c r="Q133" t="inlineStr"/>
      <c r="R133" t="inlineStr"/>
      <c r="S133">
        <f>HYPERLINK("https://helical-indexing-hi3d.streamlit.app/?emd_id=emd-26276&amp;rise=4.8&amp;twist=-0.4&amp;csym=1&amp;rise2=4.8&amp;twist2=-0.4&amp;csym2=1", "Link")</f>
        <v/>
      </c>
    </row>
    <row r="134">
      <c r="A134" t="inlineStr">
        <is>
          <t>EMD-24953</t>
        </is>
      </c>
      <c r="B134" t="inlineStr">
        <is>
          <t>amyloid</t>
        </is>
      </c>
      <c r="C134" t="n">
        <v>2.9</v>
      </c>
      <c r="D134" t="n">
        <v>4.91</v>
      </c>
      <c r="E134" t="n">
        <v>-0.42</v>
      </c>
      <c r="F134" t="inlineStr">
        <is>
          <t>C1</t>
        </is>
      </c>
      <c r="G134" t="inlineStr">
        <is>
          <t>4.91</t>
        </is>
      </c>
      <c r="H134" t="n">
        <v>-0.42</v>
      </c>
      <c r="I134" t="inlineStr">
        <is>
          <t>C1</t>
        </is>
      </c>
      <c r="J134" t="n">
        <v>0</v>
      </c>
      <c r="K134" t="inlineStr"/>
      <c r="L134" t="n">
        <v>0.9918400000000001</v>
      </c>
      <c r="M134" t="n">
        <v>0.9918400000000001</v>
      </c>
      <c r="N134" t="inlineStr">
        <is>
          <t>Yes</t>
        </is>
      </c>
      <c r="O134" t="inlineStr">
        <is>
          <t>equal</t>
        </is>
      </c>
      <c r="P134" t="inlineStr">
        <is>
          <t>deposited</t>
        </is>
      </c>
      <c r="Q134" t="inlineStr"/>
      <c r="R134" t="inlineStr"/>
      <c r="S134">
        <f>HYPERLINK("https://helical-indexing-hi3d.streamlit.app/?emd_id=emd-24953&amp;rise=4.91&amp;twist=-0.42&amp;csym=1&amp;rise2=4.91&amp;twist2=-0.42&amp;csym2=1", "Link")</f>
        <v/>
      </c>
    </row>
    <row r="135">
      <c r="A135" t="inlineStr">
        <is>
          <t>EMD-16886</t>
        </is>
      </c>
      <c r="B135" t="inlineStr">
        <is>
          <t>amyloid</t>
        </is>
      </c>
      <c r="C135" t="n">
        <v>2.9</v>
      </c>
      <c r="D135" t="n">
        <v>4.8</v>
      </c>
      <c r="E135" t="n">
        <v>-1.08</v>
      </c>
      <c r="F135" t="inlineStr">
        <is>
          <t>C1</t>
        </is>
      </c>
      <c r="G135" t="inlineStr">
        <is>
          <t>4.8</t>
        </is>
      </c>
      <c r="H135" t="n">
        <v>-1.08</v>
      </c>
      <c r="I135" t="inlineStr">
        <is>
          <t>C1</t>
        </is>
      </c>
      <c r="J135" t="n">
        <v>0</v>
      </c>
      <c r="K135" t="inlineStr"/>
      <c r="L135" t="n">
        <v>0.9503</v>
      </c>
      <c r="M135" t="n">
        <v>0.9503</v>
      </c>
      <c r="N135" t="inlineStr">
        <is>
          <t>Yes</t>
        </is>
      </c>
      <c r="O135" t="inlineStr">
        <is>
          <t>equal</t>
        </is>
      </c>
      <c r="P135" t="inlineStr">
        <is>
          <t>deposited</t>
        </is>
      </c>
      <c r="Q135" t="inlineStr"/>
      <c r="R135" t="inlineStr"/>
      <c r="S135">
        <f>HYPERLINK("https://helical-indexing-hi3d.streamlit.app/?emd_id=emd-16886&amp;rise=4.8&amp;twist=-1.08&amp;csym=1&amp;rise2=4.8&amp;twist2=-1.08&amp;csym2=1", "Link")</f>
        <v/>
      </c>
    </row>
    <row r="136">
      <c r="A136" t="inlineStr">
        <is>
          <t>EMD-32092</t>
        </is>
      </c>
      <c r="B136" t="inlineStr">
        <is>
          <t>amyloid</t>
        </is>
      </c>
      <c r="C136" t="n">
        <v>2.9</v>
      </c>
      <c r="D136" t="n">
        <v>5</v>
      </c>
      <c r="E136" t="n">
        <v>-1.44</v>
      </c>
      <c r="F136" t="inlineStr">
        <is>
          <t>C1</t>
        </is>
      </c>
      <c r="G136" t="inlineStr">
        <is>
          <t>5</t>
        </is>
      </c>
      <c r="H136" t="n">
        <v>-1.44</v>
      </c>
      <c r="I136" t="inlineStr">
        <is>
          <t>C1</t>
        </is>
      </c>
      <c r="J136" t="n">
        <v>0</v>
      </c>
      <c r="K136" t="inlineStr"/>
      <c r="L136" t="n">
        <v>0.91893</v>
      </c>
      <c r="M136" t="n">
        <v>0.91893</v>
      </c>
      <c r="N136" t="inlineStr">
        <is>
          <t>Yes</t>
        </is>
      </c>
      <c r="O136" t="inlineStr">
        <is>
          <t>equal</t>
        </is>
      </c>
      <c r="P136" t="inlineStr">
        <is>
          <t>deposited</t>
        </is>
      </c>
      <c r="Q136" t="inlineStr"/>
      <c r="R136" t="inlineStr"/>
      <c r="S136">
        <f>HYPERLINK("https://helical-indexing-hi3d.streamlit.app/?emd_id=emd-32092&amp;rise=5&amp;twist=-1.44&amp;csym=1&amp;rise2=5.0&amp;twist2=-1.44&amp;csym2=1", "Link")</f>
        <v/>
      </c>
    </row>
    <row r="137">
      <c r="A137" t="inlineStr">
        <is>
          <t>EMD-15770</t>
        </is>
      </c>
      <c r="B137" t="inlineStr">
        <is>
          <t>amyloid</t>
        </is>
      </c>
      <c r="C137" t="n">
        <v>2.9</v>
      </c>
      <c r="D137" t="n">
        <v>2.4</v>
      </c>
      <c r="E137" t="n">
        <v>178.4</v>
      </c>
      <c r="F137" t="inlineStr">
        <is>
          <t>C1</t>
        </is>
      </c>
      <c r="G137" t="inlineStr">
        <is>
          <t>2.4</t>
        </is>
      </c>
      <c r="H137" t="n">
        <v>178.4</v>
      </c>
      <c r="I137" t="inlineStr">
        <is>
          <t>C1</t>
        </is>
      </c>
      <c r="J137" t="n">
        <v>0</v>
      </c>
      <c r="K137" t="inlineStr"/>
      <c r="L137" t="n">
        <v>0.9263</v>
      </c>
      <c r="M137" t="n">
        <v>0.9263</v>
      </c>
      <c r="N137" t="inlineStr">
        <is>
          <t>Yes</t>
        </is>
      </c>
      <c r="O137" t="inlineStr">
        <is>
          <t>equal</t>
        </is>
      </c>
      <c r="P137" t="inlineStr">
        <is>
          <t>deposited</t>
        </is>
      </c>
      <c r="Q137" t="inlineStr"/>
      <c r="R137" t="inlineStr"/>
      <c r="S137">
        <f>HYPERLINK("https://helical-indexing-hi3d.streamlit.app/?emd_id=emd-15770&amp;rise=2.4&amp;twist=178.4&amp;csym=1&amp;rise2=2.4&amp;twist2=178.4&amp;csym2=1", "Link")</f>
        <v/>
      </c>
    </row>
    <row r="138">
      <c r="A138" t="inlineStr">
        <is>
          <t>EMD-18253</t>
        </is>
      </c>
      <c r="B138" t="inlineStr">
        <is>
          <t>amyloid</t>
        </is>
      </c>
      <c r="C138" t="n">
        <v>2.93</v>
      </c>
      <c r="D138" t="n">
        <v>4.77</v>
      </c>
      <c r="E138" t="n">
        <v>-1.07</v>
      </c>
      <c r="F138" t="inlineStr">
        <is>
          <t>C1</t>
        </is>
      </c>
      <c r="G138" t="inlineStr">
        <is>
          <t>4.77</t>
        </is>
      </c>
      <c r="H138" t="n">
        <v>-1.07</v>
      </c>
      <c r="I138" t="inlineStr">
        <is>
          <t>C1</t>
        </is>
      </c>
      <c r="J138" t="n">
        <v>0</v>
      </c>
      <c r="K138" t="inlineStr"/>
      <c r="L138" t="n">
        <v>0.95146</v>
      </c>
      <c r="M138" t="n">
        <v>0.95146</v>
      </c>
      <c r="N138" t="inlineStr">
        <is>
          <t>Yes</t>
        </is>
      </c>
      <c r="O138" t="inlineStr">
        <is>
          <t>equal</t>
        </is>
      </c>
      <c r="P138" t="inlineStr">
        <is>
          <t>deposited</t>
        </is>
      </c>
      <c r="Q138" t="inlineStr"/>
      <c r="R138" t="inlineStr"/>
      <c r="S138">
        <f>HYPERLINK("https://helical-indexing-hi3d.streamlit.app/?emd_id=emd-18253&amp;rise=4.77&amp;twist=-1.07&amp;csym=1&amp;rise2=4.77&amp;twist2=-1.07&amp;csym2=1", "Link")</f>
        <v/>
      </c>
    </row>
    <row r="139">
      <c r="A139" t="inlineStr">
        <is>
          <t>EMD-15372</t>
        </is>
      </c>
      <c r="B139" t="inlineStr">
        <is>
          <t>amyloid</t>
        </is>
      </c>
      <c r="C139" t="n">
        <v>2.95</v>
      </c>
      <c r="D139" t="n">
        <v>4.69</v>
      </c>
      <c r="E139" t="n">
        <v>-0.72</v>
      </c>
      <c r="F139" t="inlineStr">
        <is>
          <t>C2</t>
        </is>
      </c>
      <c r="G139" t="inlineStr">
        <is>
          <t>4.69</t>
        </is>
      </c>
      <c r="H139" t="n">
        <v>-0.72</v>
      </c>
      <c r="I139" t="inlineStr">
        <is>
          <t>C2</t>
        </is>
      </c>
      <c r="J139" t="n">
        <v>0</v>
      </c>
      <c r="K139" t="inlineStr"/>
      <c r="L139" t="n">
        <v>0.9535400000000001</v>
      </c>
      <c r="M139" t="n">
        <v>0.9535400000000001</v>
      </c>
      <c r="N139" t="inlineStr">
        <is>
          <t>Yes</t>
        </is>
      </c>
      <c r="O139" t="inlineStr">
        <is>
          <t>equal</t>
        </is>
      </c>
      <c r="P139" t="inlineStr">
        <is>
          <t>deposited</t>
        </is>
      </c>
      <c r="Q139" t="inlineStr"/>
      <c r="R139" t="inlineStr"/>
      <c r="S139">
        <f>HYPERLINK("https://helical-indexing-hi3d.streamlit.app/?emd_id=emd-15372&amp;rise=4.69&amp;twist=-0.72&amp;csym=2&amp;rise2=4.69&amp;twist2=-0.72&amp;csym2=2", "Link")</f>
        <v/>
      </c>
    </row>
    <row r="140">
      <c r="A140" t="inlineStr">
        <is>
          <t>EMD-14061</t>
        </is>
      </c>
      <c r="B140" t="inlineStr">
        <is>
          <t>amyloid</t>
        </is>
      </c>
      <c r="C140" t="n">
        <v>2.95</v>
      </c>
      <c r="D140" t="n">
        <v>4.78</v>
      </c>
      <c r="E140" t="n">
        <v>-1.62</v>
      </c>
      <c r="F140" t="inlineStr">
        <is>
          <t>C1</t>
        </is>
      </c>
      <c r="G140" t="inlineStr">
        <is>
          <t>4.75</t>
        </is>
      </c>
      <c r="H140" t="n">
        <v>-1.59</v>
      </c>
      <c r="I140" t="inlineStr">
        <is>
          <t>C1</t>
        </is>
      </c>
      <c r="J140" t="n">
        <v>0.033028186</v>
      </c>
      <c r="K140" t="inlineStr"/>
      <c r="L140" t="n">
        <v>0.80202</v>
      </c>
      <c r="M140" t="n">
        <v>0.96202</v>
      </c>
      <c r="N140" t="inlineStr">
        <is>
          <t>Yes</t>
        </is>
      </c>
      <c r="O140" t="inlineStr">
        <is>
          <t>improve</t>
        </is>
      </c>
      <c r="P140" t="inlineStr">
        <is>
          <t>adjusted decimals</t>
        </is>
      </c>
      <c r="Q140" t="inlineStr"/>
      <c r="R140" t="inlineStr"/>
      <c r="S140">
        <f>HYPERLINK("https://helical-indexing-hi3d.streamlit.app/?emd_id=emd-14061&amp;rise=4.75&amp;twist=-1.59&amp;csym=1&amp;rise2=4.78&amp;twist2=-1.62&amp;csym2=1", "Link")</f>
        <v/>
      </c>
    </row>
    <row r="141">
      <c r="A141" t="inlineStr">
        <is>
          <t>EMD-11163</t>
        </is>
      </c>
      <c r="B141" t="inlineStr">
        <is>
          <t>amyloid</t>
        </is>
      </c>
      <c r="C141" t="n">
        <v>2.95</v>
      </c>
      <c r="D141" t="n">
        <v>4.74874</v>
      </c>
      <c r="E141" t="n">
        <v>-1.6</v>
      </c>
      <c r="F141" t="inlineStr">
        <is>
          <t>C2</t>
        </is>
      </c>
      <c r="G141" t="inlineStr">
        <is>
          <t>4.71075</t>
        </is>
      </c>
      <c r="H141" t="n">
        <v>-1.568</v>
      </c>
      <c r="I141" t="inlineStr">
        <is>
          <t>C2</t>
        </is>
      </c>
      <c r="J141" t="n">
        <v>0.041513516</v>
      </c>
      <c r="K141" t="inlineStr">
        <is>
          <t>z -&gt; x</t>
        </is>
      </c>
      <c r="L141" t="n">
        <v>0.31918</v>
      </c>
      <c r="M141" t="n">
        <v>0.32007</v>
      </c>
      <c r="N141" t="inlineStr">
        <is>
          <t>No</t>
        </is>
      </c>
      <c r="O141" t="inlineStr">
        <is>
          <t>improve</t>
        </is>
      </c>
      <c r="P141" t="inlineStr">
        <is>
          <t>adjusted decimals</t>
        </is>
      </c>
      <c r="Q141" t="inlineStr"/>
      <c r="R141" t="inlineStr"/>
      <c r="S141">
        <f>HYPERLINK("https://helical-indexing-hi3d.streamlit.app/?emd_id=emd-11163&amp;rise=4.71075&amp;twist=-1.568&amp;csym=2&amp;rise2=4.74874&amp;twist2=-1.6&amp;csym2=2", "Link")</f>
        <v/>
      </c>
    </row>
    <row r="142">
      <c r="A142" t="inlineStr">
        <is>
          <t>EMD-18255</t>
        </is>
      </c>
      <c r="B142" t="inlineStr">
        <is>
          <t>amyloid</t>
        </is>
      </c>
      <c r="C142" t="n">
        <v>2.95</v>
      </c>
      <c r="D142" t="n">
        <v>2.394</v>
      </c>
      <c r="E142" t="n">
        <v>179.86</v>
      </c>
      <c r="F142" t="inlineStr">
        <is>
          <t>C1</t>
        </is>
      </c>
      <c r="G142" t="inlineStr">
        <is>
          <t>2.394</t>
        </is>
      </c>
      <c r="H142" t="n">
        <v>179.86</v>
      </c>
      <c r="I142" t="inlineStr">
        <is>
          <t>C1</t>
        </is>
      </c>
      <c r="J142" t="n">
        <v>0</v>
      </c>
      <c r="K142" t="inlineStr"/>
      <c r="L142" t="n">
        <v>0.96111</v>
      </c>
      <c r="M142" t="n">
        <v>0.96111</v>
      </c>
      <c r="N142" t="inlineStr">
        <is>
          <t>Yes</t>
        </is>
      </c>
      <c r="O142" t="inlineStr">
        <is>
          <t>equal</t>
        </is>
      </c>
      <c r="P142" t="inlineStr">
        <is>
          <t>deposited</t>
        </is>
      </c>
      <c r="Q142" t="inlineStr"/>
      <c r="R142" t="inlineStr"/>
      <c r="S142">
        <f>HYPERLINK("https://helical-indexing-hi3d.streamlit.app/?emd_id=emd-18255&amp;rise=2.394&amp;twist=179.86&amp;csym=1&amp;rise2=2.394&amp;twist2=179.86&amp;csym2=1", "Link")</f>
        <v/>
      </c>
    </row>
    <row r="143">
      <c r="A143" t="inlineStr">
        <is>
          <t>EMD-32227</t>
        </is>
      </c>
      <c r="B143" t="inlineStr">
        <is>
          <t>amyloid</t>
        </is>
      </c>
      <c r="C143" t="n">
        <v>2.95</v>
      </c>
      <c r="D143" t="n">
        <v>4.82</v>
      </c>
      <c r="E143" t="n">
        <v>-1.187</v>
      </c>
      <c r="F143" t="inlineStr">
        <is>
          <t>C1</t>
        </is>
      </c>
      <c r="G143" t="inlineStr">
        <is>
          <t>4.82</t>
        </is>
      </c>
      <c r="H143" t="n">
        <v>-1.187</v>
      </c>
      <c r="I143" t="inlineStr">
        <is>
          <t>C1</t>
        </is>
      </c>
      <c r="J143" t="n">
        <v>0</v>
      </c>
      <c r="K143" t="inlineStr"/>
      <c r="L143" t="n">
        <v>0.86671</v>
      </c>
      <c r="M143" t="n">
        <v>0.86671</v>
      </c>
      <c r="N143" t="inlineStr">
        <is>
          <t>Yes</t>
        </is>
      </c>
      <c r="O143" t="inlineStr">
        <is>
          <t>equal</t>
        </is>
      </c>
      <c r="P143" t="inlineStr">
        <is>
          <t>deposited</t>
        </is>
      </c>
      <c r="Q143" t="inlineStr"/>
      <c r="R143" t="inlineStr"/>
      <c r="S143">
        <f>HYPERLINK("https://helical-indexing-hi3d.streamlit.app/?emd_id=emd-32227&amp;rise=4.82&amp;twist=-1.187&amp;csym=1&amp;rise2=4.82&amp;twist2=-1.187&amp;csym2=1", "Link")</f>
        <v/>
      </c>
    </row>
    <row r="144">
      <c r="A144" t="inlineStr">
        <is>
          <t>EMD-18249</t>
        </is>
      </c>
      <c r="B144" t="inlineStr">
        <is>
          <t>amyloid</t>
        </is>
      </c>
      <c r="C144" t="n">
        <v>2.95</v>
      </c>
      <c r="D144" t="n">
        <v>4.77</v>
      </c>
      <c r="E144" t="n">
        <v>-0.82</v>
      </c>
      <c r="F144" t="inlineStr">
        <is>
          <t>C1</t>
        </is>
      </c>
      <c r="G144" t="inlineStr">
        <is>
          <t>2.39</t>
        </is>
      </c>
      <c r="H144" t="n">
        <v>179.6</v>
      </c>
      <c r="I144" t="inlineStr">
        <is>
          <t>C1</t>
        </is>
      </c>
      <c r="J144" t="n">
        <v>67.97212615577216</v>
      </c>
      <c r="K144" t="inlineStr"/>
      <c r="L144" t="n">
        <v>0.9627</v>
      </c>
      <c r="M144" t="n">
        <v>0.9628</v>
      </c>
      <c r="N144" t="inlineStr">
        <is>
          <t>Yes</t>
        </is>
      </c>
      <c r="O144" t="inlineStr">
        <is>
          <t>improve</t>
        </is>
      </c>
      <c r="P144" t="inlineStr">
        <is>
          <t>different</t>
        </is>
      </c>
      <c r="Q144" t="inlineStr">
        <is>
          <t>partial symmetry</t>
        </is>
      </c>
      <c r="R144" t="inlineStr"/>
      <c r="S144">
        <f>HYPERLINK("https://helical-indexing-hi3d.streamlit.app/?emd_id=emd-18249&amp;rise=2.39&amp;twist=179.6&amp;csym=1&amp;rise2=4.77&amp;twist2=-0.82&amp;csym2=1", "Link")</f>
        <v/>
      </c>
    </row>
    <row r="145">
      <c r="A145" t="inlineStr">
        <is>
          <t>EMD-18283</t>
        </is>
      </c>
      <c r="B145" t="inlineStr">
        <is>
          <t>amyloid</t>
        </is>
      </c>
      <c r="C145" t="n">
        <v>2.96</v>
      </c>
      <c r="D145" t="n">
        <v>4.74</v>
      </c>
      <c r="E145" t="n">
        <v>-1.32</v>
      </c>
      <c r="F145" t="inlineStr">
        <is>
          <t>C1</t>
        </is>
      </c>
      <c r="G145" t="inlineStr">
        <is>
          <t>4.74</t>
        </is>
      </c>
      <c r="H145" t="n">
        <v>-1.32</v>
      </c>
      <c r="I145" t="inlineStr">
        <is>
          <t>C1</t>
        </is>
      </c>
      <c r="J145" t="n">
        <v>0</v>
      </c>
      <c r="K145" t="inlineStr"/>
      <c r="L145" t="n">
        <v>0.9676399999999999</v>
      </c>
      <c r="M145" t="n">
        <v>0.9676399999999999</v>
      </c>
      <c r="N145" t="inlineStr">
        <is>
          <t>Yes</t>
        </is>
      </c>
      <c r="O145" t="inlineStr">
        <is>
          <t>equal</t>
        </is>
      </c>
      <c r="P145" t="inlineStr">
        <is>
          <t>deposited</t>
        </is>
      </c>
      <c r="Q145" t="inlineStr"/>
      <c r="R145" t="inlineStr"/>
      <c r="S145">
        <f>HYPERLINK("https://helical-indexing-hi3d.streamlit.app/?emd_id=emd-18283&amp;rise=4.74&amp;twist=-1.32&amp;csym=1&amp;rise2=4.74&amp;twist2=-1.32&amp;csym2=1", "Link")</f>
        <v/>
      </c>
    </row>
    <row r="146">
      <c r="A146" t="inlineStr">
        <is>
          <t>EMD-17168</t>
        </is>
      </c>
      <c r="B146" t="inlineStr">
        <is>
          <t>amyloid</t>
        </is>
      </c>
      <c r="C146" t="n">
        <v>2.97</v>
      </c>
      <c r="D146" t="n">
        <v>2.38</v>
      </c>
      <c r="E146" t="n">
        <v>-178.82</v>
      </c>
      <c r="F146" t="inlineStr">
        <is>
          <t>C1</t>
        </is>
      </c>
      <c r="G146" t="inlineStr">
        <is>
          <t>2.38</t>
        </is>
      </c>
      <c r="H146" t="n">
        <v>-178.82</v>
      </c>
      <c r="I146" t="inlineStr">
        <is>
          <t>C1</t>
        </is>
      </c>
      <c r="J146" t="n">
        <v>0</v>
      </c>
      <c r="K146" t="inlineStr"/>
      <c r="L146" t="n">
        <v>0.75581</v>
      </c>
      <c r="M146" t="n">
        <v>0.75581</v>
      </c>
      <c r="N146" t="inlineStr">
        <is>
          <t>Yes</t>
        </is>
      </c>
      <c r="O146" t="inlineStr">
        <is>
          <t>equal</t>
        </is>
      </c>
      <c r="P146" t="inlineStr">
        <is>
          <t>deposited</t>
        </is>
      </c>
      <c r="Q146" t="inlineStr"/>
      <c r="R146" t="inlineStr"/>
      <c r="S146">
        <f>HYPERLINK("https://helical-indexing-hi3d.streamlit.app/?emd_id=emd-17168&amp;rise=2.38&amp;twist=-178.82&amp;csym=1&amp;rise2=2.38&amp;twist2=-178.82&amp;csym2=1", "Link")</f>
        <v/>
      </c>
    </row>
    <row r="147">
      <c r="A147" t="inlineStr">
        <is>
          <t>EMD-18278</t>
        </is>
      </c>
      <c r="B147" t="inlineStr">
        <is>
          <t>amyloid</t>
        </is>
      </c>
      <c r="C147" t="n">
        <v>2.97</v>
      </c>
      <c r="D147" t="n">
        <v>4.74</v>
      </c>
      <c r="E147" t="n">
        <v>-1.65</v>
      </c>
      <c r="F147" t="inlineStr">
        <is>
          <t>C1</t>
        </is>
      </c>
      <c r="G147" t="inlineStr">
        <is>
          <t>4.74</t>
        </is>
      </c>
      <c r="H147" t="n">
        <v>-1.65</v>
      </c>
      <c r="I147" t="inlineStr">
        <is>
          <t>C1</t>
        </is>
      </c>
      <c r="J147" t="n">
        <v>0</v>
      </c>
      <c r="K147" t="inlineStr"/>
      <c r="L147" t="n">
        <v>0.96314</v>
      </c>
      <c r="M147" t="n">
        <v>0.96314</v>
      </c>
      <c r="N147" t="inlineStr">
        <is>
          <t>Yes</t>
        </is>
      </c>
      <c r="O147" t="inlineStr">
        <is>
          <t>equal</t>
        </is>
      </c>
      <c r="P147" t="inlineStr">
        <is>
          <t>deposited</t>
        </is>
      </c>
      <c r="Q147" t="inlineStr"/>
      <c r="R147" t="inlineStr"/>
      <c r="S147">
        <f>HYPERLINK("https://helical-indexing-hi3d.streamlit.app/?emd_id=emd-18278&amp;rise=4.74&amp;twist=-1.65&amp;csym=1&amp;rise2=4.74&amp;twist2=-1.65&amp;csym2=1", "Link")</f>
        <v/>
      </c>
    </row>
    <row r="148">
      <c r="A148" t="inlineStr">
        <is>
          <t>EMD-10150</t>
        </is>
      </c>
      <c r="B148" t="inlineStr">
        <is>
          <t>amyloid</t>
        </is>
      </c>
      <c r="C148" t="n">
        <v>2.97</v>
      </c>
      <c r="D148" t="n">
        <v>4.825</v>
      </c>
      <c r="E148" t="n">
        <v>-1.19</v>
      </c>
      <c r="F148" t="inlineStr">
        <is>
          <t>C1</t>
        </is>
      </c>
      <c r="G148" t="inlineStr">
        <is>
          <t>4.825</t>
        </is>
      </c>
      <c r="H148" t="n">
        <v>-1.19</v>
      </c>
      <c r="I148" t="inlineStr">
        <is>
          <t>C1</t>
        </is>
      </c>
      <c r="J148" t="n">
        <v>0</v>
      </c>
      <c r="K148" t="inlineStr">
        <is>
          <t>z -&gt; x</t>
        </is>
      </c>
      <c r="L148" t="n">
        <v>0.81327</v>
      </c>
      <c r="M148" t="n">
        <v>0.81327</v>
      </c>
      <c r="N148" t="inlineStr">
        <is>
          <t>Yes</t>
        </is>
      </c>
      <c r="O148" t="inlineStr">
        <is>
          <t>equal</t>
        </is>
      </c>
      <c r="P148" t="inlineStr">
        <is>
          <t>deposited</t>
        </is>
      </c>
      <c r="Q148" t="inlineStr"/>
      <c r="R148" t="inlineStr"/>
      <c r="S148">
        <f>HYPERLINK("https://helical-indexing-hi3d.streamlit.app/?emd_id=emd-10150&amp;rise=4.825&amp;twist=-1.19&amp;csym=1&amp;rise2=4.825&amp;twist2=-1.19&amp;csym2=1", "Link")</f>
        <v/>
      </c>
    </row>
    <row r="149">
      <c r="A149" t="inlineStr">
        <is>
          <t>EMD-15371</t>
        </is>
      </c>
      <c r="B149" t="inlineStr">
        <is>
          <t>amyloid</t>
        </is>
      </c>
      <c r="C149" t="n">
        <v>2.98</v>
      </c>
      <c r="D149" t="n">
        <v>2.37</v>
      </c>
      <c r="E149" t="n">
        <v>179.49</v>
      </c>
      <c r="F149" t="inlineStr">
        <is>
          <t>C1</t>
        </is>
      </c>
      <c r="G149" t="inlineStr">
        <is>
          <t>2.33</t>
        </is>
      </c>
      <c r="H149" t="n">
        <v>179.43</v>
      </c>
      <c r="I149" t="inlineStr">
        <is>
          <t>C1</t>
        </is>
      </c>
      <c r="J149" t="n">
        <v>0.051158284</v>
      </c>
      <c r="K149" t="inlineStr"/>
      <c r="L149" t="n">
        <v>0.71334</v>
      </c>
      <c r="M149" t="n">
        <v>0.86302</v>
      </c>
      <c r="N149" t="inlineStr">
        <is>
          <t>Yes</t>
        </is>
      </c>
      <c r="O149" t="inlineStr">
        <is>
          <t>improve</t>
        </is>
      </c>
      <c r="P149" t="inlineStr">
        <is>
          <t>adjusted decimals</t>
        </is>
      </c>
      <c r="Q149" t="inlineStr"/>
      <c r="R149" t="inlineStr"/>
      <c r="S149">
        <f>HYPERLINK("https://helical-indexing-hi3d.streamlit.app/?emd_id=emd-15371&amp;rise=2.33&amp;twist=179.43&amp;csym=1&amp;rise2=2.37&amp;twist2=179.49&amp;csym2=1", "Link")</f>
        <v/>
      </c>
    </row>
    <row r="150">
      <c r="A150" t="inlineStr">
        <is>
          <t>EMD-10307</t>
        </is>
      </c>
      <c r="B150" t="inlineStr">
        <is>
          <t>amyloid</t>
        </is>
      </c>
      <c r="C150" t="n">
        <v>2.98</v>
      </c>
      <c r="D150" t="n">
        <v>4.8</v>
      </c>
      <c r="E150" t="n">
        <v>0.8</v>
      </c>
      <c r="F150" t="inlineStr">
        <is>
          <t>C2</t>
        </is>
      </c>
      <c r="G150" t="inlineStr">
        <is>
          <t>4.8</t>
        </is>
      </c>
      <c r="H150" t="n">
        <v>-0.8</v>
      </c>
      <c r="I150" t="inlineStr">
        <is>
          <t>C2</t>
        </is>
      </c>
      <c r="J150" t="n">
        <v>1.249316704461954</v>
      </c>
      <c r="K150" t="inlineStr"/>
      <c r="L150" t="n">
        <v>0.67556</v>
      </c>
      <c r="M150" t="n">
        <v>0.783707</v>
      </c>
      <c r="N150" t="inlineStr">
        <is>
          <t>Yes</t>
        </is>
      </c>
      <c r="O150" t="inlineStr">
        <is>
          <t>improve</t>
        </is>
      </c>
      <c r="P150" t="inlineStr">
        <is>
          <t>twist sign</t>
        </is>
      </c>
      <c r="Q150" t="inlineStr"/>
      <c r="R150" t="inlineStr"/>
      <c r="S150">
        <f>HYPERLINK("https://helical-indexing-hi3d.streamlit.app/?emd_id=emd-10307&amp;rise=4.8&amp;twist=-0.8&amp;csym=2&amp;rise2=4.8&amp;twist2=0.8&amp;csym2=2", "Link")</f>
        <v/>
      </c>
    </row>
    <row r="151">
      <c r="A151" t="inlineStr">
        <is>
          <t>EMD-18270</t>
        </is>
      </c>
      <c r="B151" t="inlineStr">
        <is>
          <t>amyloid</t>
        </is>
      </c>
      <c r="C151" t="n">
        <v>2.99</v>
      </c>
      <c r="D151" t="n">
        <v>4.77</v>
      </c>
      <c r="E151" t="n">
        <v>-1.14</v>
      </c>
      <c r="F151" t="inlineStr">
        <is>
          <t>C2</t>
        </is>
      </c>
      <c r="G151" t="inlineStr">
        <is>
          <t>4.77</t>
        </is>
      </c>
      <c r="H151" t="n">
        <v>-1.14</v>
      </c>
      <c r="I151" t="inlineStr">
        <is>
          <t>C2</t>
        </is>
      </c>
      <c r="J151" t="n">
        <v>0</v>
      </c>
      <c r="K151" t="inlineStr"/>
      <c r="L151" t="n">
        <v>0.9650300000000001</v>
      </c>
      <c r="M151" t="n">
        <v>0.9650300000000001</v>
      </c>
      <c r="N151" t="inlineStr">
        <is>
          <t>Yes</t>
        </is>
      </c>
      <c r="O151" t="inlineStr">
        <is>
          <t>equal</t>
        </is>
      </c>
      <c r="P151" t="inlineStr">
        <is>
          <t>deposited</t>
        </is>
      </c>
      <c r="Q151" t="inlineStr"/>
      <c r="R151" t="inlineStr"/>
      <c r="S151">
        <f>HYPERLINK("https://helical-indexing-hi3d.streamlit.app/?emd_id=emd-18270&amp;rise=4.77&amp;twist=-1.14&amp;csym=2&amp;rise2=4.77&amp;twist2=-1.14&amp;csym2=2", "Link")</f>
        <v/>
      </c>
    </row>
    <row r="152">
      <c r="A152" t="inlineStr">
        <is>
          <t>EMD-14025</t>
        </is>
      </c>
      <c r="B152" t="inlineStr">
        <is>
          <t>amyloid</t>
        </is>
      </c>
      <c r="C152" t="n">
        <v>2.99</v>
      </c>
      <c r="D152" t="n">
        <v>4.9</v>
      </c>
      <c r="E152" t="n">
        <v>-0.978</v>
      </c>
      <c r="F152" t="inlineStr">
        <is>
          <t>C2</t>
        </is>
      </c>
      <c r="G152" t="inlineStr">
        <is>
          <t>4.9</t>
        </is>
      </c>
      <c r="H152" t="n">
        <v>-0.978</v>
      </c>
      <c r="I152" t="inlineStr">
        <is>
          <t>C2</t>
        </is>
      </c>
      <c r="J152" t="n">
        <v>0</v>
      </c>
      <c r="K152" t="inlineStr"/>
      <c r="L152" t="n">
        <v>0.94434</v>
      </c>
      <c r="M152" t="n">
        <v>0.94434</v>
      </c>
      <c r="N152" t="inlineStr">
        <is>
          <t>Yes</t>
        </is>
      </c>
      <c r="O152" t="inlineStr">
        <is>
          <t>equal</t>
        </is>
      </c>
      <c r="P152" t="inlineStr">
        <is>
          <t>deposited</t>
        </is>
      </c>
      <c r="Q152" t="inlineStr"/>
      <c r="R152" t="inlineStr"/>
      <c r="S152">
        <f>HYPERLINK("https://helical-indexing-hi3d.streamlit.app/?emd_id=emd-14025&amp;rise=4.9&amp;twist=-0.978&amp;csym=2&amp;rise2=4.9&amp;twist2=-0.978&amp;csym2=2", "Link")</f>
        <v/>
      </c>
    </row>
    <row r="153">
      <c r="A153" t="inlineStr">
        <is>
          <t>EMD-27091</t>
        </is>
      </c>
      <c r="B153" t="inlineStr">
        <is>
          <t>amyloid</t>
        </is>
      </c>
      <c r="C153" t="n">
        <v>3</v>
      </c>
      <c r="D153" t="n">
        <v>4.84</v>
      </c>
      <c r="E153" t="n">
        <v>-0.79</v>
      </c>
      <c r="F153" t="inlineStr">
        <is>
          <t>C1</t>
        </is>
      </c>
      <c r="G153" t="inlineStr">
        <is>
          <t>4.816</t>
        </is>
      </c>
      <c r="H153" t="n">
        <v>-0.841</v>
      </c>
      <c r="I153" t="inlineStr">
        <is>
          <t>C1</t>
        </is>
      </c>
      <c r="J153" t="n">
        <v>0.033280299</v>
      </c>
      <c r="K153" t="inlineStr"/>
      <c r="L153" t="n">
        <v>0.79076</v>
      </c>
      <c r="M153" t="n">
        <v>0.79191</v>
      </c>
      <c r="N153" t="inlineStr">
        <is>
          <t>Yes</t>
        </is>
      </c>
      <c r="O153" t="inlineStr">
        <is>
          <t>improve</t>
        </is>
      </c>
      <c r="P153" t="inlineStr">
        <is>
          <t>adjusted decimals</t>
        </is>
      </c>
      <c r="Q153" t="inlineStr"/>
      <c r="R153" t="inlineStr"/>
      <c r="S153">
        <f>HYPERLINK("https://helical-indexing-hi3d.streamlit.app/?emd_id=emd-27091&amp;rise=4.816&amp;twist=-0.841&amp;csym=1&amp;rise2=4.84&amp;twist2=-0.79&amp;csym2=1", "Link")</f>
        <v/>
      </c>
    </row>
    <row r="154">
      <c r="A154" t="inlineStr">
        <is>
          <t>EMD-27084</t>
        </is>
      </c>
      <c r="B154" t="inlineStr">
        <is>
          <t>amyloid</t>
        </is>
      </c>
      <c r="C154" t="n">
        <v>3</v>
      </c>
      <c r="D154" t="n">
        <v>4.8</v>
      </c>
      <c r="E154" t="n">
        <v>-0.8</v>
      </c>
      <c r="F154" t="inlineStr">
        <is>
          <t>C1</t>
        </is>
      </c>
      <c r="G154" t="inlineStr">
        <is>
          <t>4.8</t>
        </is>
      </c>
      <c r="H154" t="n">
        <v>-0.8</v>
      </c>
      <c r="I154" t="inlineStr">
        <is>
          <t>C1</t>
        </is>
      </c>
      <c r="J154" t="n">
        <v>0</v>
      </c>
      <c r="K154" t="inlineStr"/>
      <c r="L154" t="n">
        <v>0.82304</v>
      </c>
      <c r="M154" t="n">
        <v>0.82304</v>
      </c>
      <c r="N154" t="inlineStr">
        <is>
          <t>Yes</t>
        </is>
      </c>
      <c r="O154" t="inlineStr">
        <is>
          <t>equal</t>
        </is>
      </c>
      <c r="P154" t="inlineStr">
        <is>
          <t>deposited</t>
        </is>
      </c>
      <c r="Q154" t="inlineStr"/>
      <c r="R154" t="inlineStr"/>
      <c r="S154">
        <f>HYPERLINK("https://helical-indexing-hi3d.streamlit.app/?emd_id=emd-27084&amp;rise=4.8&amp;twist=-0.8&amp;csym=1&amp;rise2=4.8&amp;twist2=-0.8&amp;csym2=1", "Link")</f>
        <v/>
      </c>
    </row>
    <row r="155">
      <c r="A155" t="inlineStr">
        <is>
          <t>EMD-14167</t>
        </is>
      </c>
      <c r="B155" t="inlineStr">
        <is>
          <t>amyloid</t>
        </is>
      </c>
      <c r="C155" t="n">
        <v>3</v>
      </c>
      <c r="D155" t="n">
        <v>4.86</v>
      </c>
      <c r="E155" t="n">
        <v>-1.14</v>
      </c>
      <c r="F155" t="inlineStr">
        <is>
          <t>C3</t>
        </is>
      </c>
      <c r="G155" t="inlineStr">
        <is>
          <t>4.86</t>
        </is>
      </c>
      <c r="H155" t="n">
        <v>-1.14</v>
      </c>
      <c r="I155" t="inlineStr">
        <is>
          <t>C3</t>
        </is>
      </c>
      <c r="J155" t="n">
        <v>0</v>
      </c>
      <c r="K155" t="inlineStr"/>
      <c r="L155" t="n">
        <v>0.94753</v>
      </c>
      <c r="M155" t="n">
        <v>0.94753</v>
      </c>
      <c r="N155" t="inlineStr">
        <is>
          <t>Yes</t>
        </is>
      </c>
      <c r="O155" t="inlineStr">
        <is>
          <t>equal</t>
        </is>
      </c>
      <c r="P155" t="inlineStr">
        <is>
          <t>deposited</t>
        </is>
      </c>
      <c r="Q155" t="inlineStr"/>
      <c r="R155" t="inlineStr"/>
      <c r="S155">
        <f>HYPERLINK("https://helical-indexing-hi3d.streamlit.app/?emd_id=emd-14167&amp;rise=4.86&amp;twist=-1.14&amp;csym=3&amp;rise2=4.86&amp;twist2=-1.14&amp;csym2=3", "Link")</f>
        <v/>
      </c>
    </row>
    <row r="156">
      <c r="A156" t="inlineStr">
        <is>
          <t>EMD-27090</t>
        </is>
      </c>
      <c r="B156" t="inlineStr">
        <is>
          <t>amyloid</t>
        </is>
      </c>
      <c r="C156" t="n">
        <v>3</v>
      </c>
      <c r="D156" t="n">
        <v>4.84</v>
      </c>
      <c r="E156" t="n">
        <v>-0.79</v>
      </c>
      <c r="F156" t="inlineStr">
        <is>
          <t>C1</t>
        </is>
      </c>
      <c r="G156" t="inlineStr">
        <is>
          <t>2.39</t>
        </is>
      </c>
      <c r="H156" t="n">
        <v>179.54</v>
      </c>
      <c r="I156" t="inlineStr">
        <is>
          <t>C1</t>
        </is>
      </c>
      <c r="J156" t="n">
        <v>45.45666477556968</v>
      </c>
      <c r="K156" t="inlineStr"/>
      <c r="L156" t="n">
        <v>0.79848</v>
      </c>
      <c r="M156" t="n">
        <v>0.79848</v>
      </c>
      <c r="N156" t="inlineStr">
        <is>
          <t>Yes</t>
        </is>
      </c>
      <c r="O156" t="inlineStr">
        <is>
          <t>equal</t>
        </is>
      </c>
      <c r="P156" t="inlineStr">
        <is>
          <t>different</t>
        </is>
      </c>
      <c r="Q156" t="inlineStr">
        <is>
          <t>partial symmetry</t>
        </is>
      </c>
      <c r="R156" t="inlineStr"/>
      <c r="S156">
        <f>HYPERLINK("https://helical-indexing-hi3d.streamlit.app/?emd_id=emd-27090&amp;rise=2.39&amp;twist=179.54&amp;csym=1&amp;rise2=4.84&amp;twist2=-0.79&amp;csym2=1", "Link")</f>
        <v/>
      </c>
    </row>
    <row r="157">
      <c r="A157" t="inlineStr">
        <is>
          <t>EMD-16018</t>
        </is>
      </c>
      <c r="B157" t="inlineStr">
        <is>
          <t>amyloid</t>
        </is>
      </c>
      <c r="C157" t="n">
        <v>3</v>
      </c>
      <c r="D157" t="n">
        <v>2.418</v>
      </c>
      <c r="E157" t="n">
        <v>179.352</v>
      </c>
      <c r="F157" t="inlineStr">
        <is>
          <t>C1</t>
        </is>
      </c>
      <c r="G157" t="inlineStr">
        <is>
          <t>2.418</t>
        </is>
      </c>
      <c r="H157" t="n">
        <v>179.352</v>
      </c>
      <c r="I157" t="inlineStr">
        <is>
          <t>C1</t>
        </is>
      </c>
      <c r="J157" t="n">
        <v>0</v>
      </c>
      <c r="K157" t="inlineStr"/>
      <c r="L157" t="n">
        <v>0.9559299999999999</v>
      </c>
      <c r="M157" t="n">
        <v>0.9559299999999999</v>
      </c>
      <c r="N157" t="inlineStr">
        <is>
          <t>Yes</t>
        </is>
      </c>
      <c r="O157" t="inlineStr">
        <is>
          <t>equal</t>
        </is>
      </c>
      <c r="P157" t="inlineStr">
        <is>
          <t>deposited</t>
        </is>
      </c>
      <c r="Q157" t="inlineStr"/>
      <c r="R157" t="inlineStr"/>
      <c r="S157">
        <f>HYPERLINK("https://helical-indexing-hi3d.streamlit.app/?emd_id=emd-16018&amp;rise=2.418&amp;twist=179.352&amp;csym=1&amp;rise2=2.418&amp;twist2=179.352&amp;csym2=1", "Link")</f>
        <v/>
      </c>
    </row>
    <row r="158">
      <c r="A158" t="inlineStr">
        <is>
          <t>EMD-27087</t>
        </is>
      </c>
      <c r="B158" t="inlineStr">
        <is>
          <t>amyloid</t>
        </is>
      </c>
      <c r="C158" t="n">
        <v>3</v>
      </c>
      <c r="D158" t="n">
        <v>4.8</v>
      </c>
      <c r="E158" t="n">
        <v>-0.75</v>
      </c>
      <c r="F158" t="inlineStr">
        <is>
          <t>C1</t>
        </is>
      </c>
      <c r="G158" t="inlineStr">
        <is>
          <t>4.8</t>
        </is>
      </c>
      <c r="H158" t="n">
        <v>-0.75</v>
      </c>
      <c r="I158" t="inlineStr">
        <is>
          <t>C1</t>
        </is>
      </c>
      <c r="J158" t="n">
        <v>0</v>
      </c>
      <c r="K158" t="inlineStr"/>
      <c r="L158" t="n">
        <v>0.79318</v>
      </c>
      <c r="M158" t="n">
        <v>0.79318</v>
      </c>
      <c r="N158" t="inlineStr">
        <is>
          <t>Yes</t>
        </is>
      </c>
      <c r="O158" t="inlineStr">
        <is>
          <t>equal</t>
        </is>
      </c>
      <c r="P158" t="inlineStr">
        <is>
          <t>deposited</t>
        </is>
      </c>
      <c r="Q158" t="inlineStr"/>
      <c r="R158" t="inlineStr"/>
      <c r="S158">
        <f>HYPERLINK("https://helical-indexing-hi3d.streamlit.app/?emd_id=emd-27087&amp;rise=4.8&amp;twist=-0.75&amp;csym=1&amp;rise2=4.8&amp;twist2=-0.75&amp;csym2=1", "Link")</f>
        <v/>
      </c>
    </row>
    <row r="159">
      <c r="A159" t="inlineStr">
        <is>
          <t>EMD-12551</t>
        </is>
      </c>
      <c r="B159" t="inlineStr">
        <is>
          <t>amyloid</t>
        </is>
      </c>
      <c r="C159" t="n">
        <v>3</v>
      </c>
      <c r="D159" t="n">
        <v>2.37</v>
      </c>
      <c r="E159" t="n">
        <v>179.45</v>
      </c>
      <c r="F159" t="inlineStr">
        <is>
          <t>C1</t>
        </is>
      </c>
      <c r="G159" t="inlineStr">
        <is>
          <t>2.37</t>
        </is>
      </c>
      <c r="H159" t="n">
        <v>179.45</v>
      </c>
      <c r="I159" t="inlineStr">
        <is>
          <t>C1</t>
        </is>
      </c>
      <c r="J159" t="n">
        <v>0</v>
      </c>
      <c r="K159" t="inlineStr"/>
      <c r="L159" t="n">
        <v>0.94828</v>
      </c>
      <c r="M159" t="n">
        <v>0.94828</v>
      </c>
      <c r="N159" t="inlineStr">
        <is>
          <t>Yes</t>
        </is>
      </c>
      <c r="O159" t="inlineStr">
        <is>
          <t>equal</t>
        </is>
      </c>
      <c r="P159" t="inlineStr">
        <is>
          <t>deposited</t>
        </is>
      </c>
      <c r="Q159" t="inlineStr"/>
      <c r="R159" t="inlineStr"/>
      <c r="S159">
        <f>HYPERLINK("https://helical-indexing-hi3d.streamlit.app/?emd_id=emd-12551&amp;rise=2.37&amp;twist=179.45&amp;csym=1&amp;rise2=2.37&amp;twist2=179.45&amp;csym2=1", "Link")</f>
        <v/>
      </c>
    </row>
    <row r="160">
      <c r="A160" t="inlineStr">
        <is>
          <t>EMD-26278</t>
        </is>
      </c>
      <c r="B160" t="inlineStr">
        <is>
          <t>amyloid</t>
        </is>
      </c>
      <c r="C160" t="n">
        <v>3</v>
      </c>
      <c r="D160" t="n">
        <v>4.8</v>
      </c>
      <c r="E160" t="n">
        <v>-0.67</v>
      </c>
      <c r="F160" t="inlineStr">
        <is>
          <t>C1</t>
        </is>
      </c>
      <c r="G160" t="inlineStr">
        <is>
          <t>4.707292259</t>
        </is>
      </c>
      <c r="H160" t="n">
        <v>-0.721373511</v>
      </c>
      <c r="I160" t="inlineStr">
        <is>
          <t>C1</t>
        </is>
      </c>
      <c r="J160" t="n">
        <v>0.093562882</v>
      </c>
      <c r="K160" t="inlineStr"/>
      <c r="L160" t="n">
        <v>0.34446</v>
      </c>
      <c r="M160" t="n">
        <v>0.81495</v>
      </c>
      <c r="N160" t="inlineStr">
        <is>
          <t>Yes</t>
        </is>
      </c>
      <c r="O160" t="inlineStr">
        <is>
          <t>improve</t>
        </is>
      </c>
      <c r="P160" t="inlineStr">
        <is>
          <t>adjusted decimals</t>
        </is>
      </c>
      <c r="Q160" t="inlineStr"/>
      <c r="R160" t="inlineStr"/>
      <c r="S160">
        <f>HYPERLINK("https://helical-indexing-hi3d.streamlit.app/?emd_id=emd-26278&amp;rise=4.707292259&amp;twist=-0.721373511&amp;csym=1&amp;rise2=4.8&amp;twist2=-0.67&amp;csym2=1", "Link")</f>
        <v/>
      </c>
    </row>
    <row r="161">
      <c r="A161" t="inlineStr">
        <is>
          <t>EMD-33332</t>
        </is>
      </c>
      <c r="B161" t="inlineStr">
        <is>
          <t>amyloid</t>
        </is>
      </c>
      <c r="C161" t="n">
        <v>3</v>
      </c>
      <c r="D161" t="n">
        <v>2.42</v>
      </c>
      <c r="E161" t="n">
        <v>179.34</v>
      </c>
      <c r="F161" t="inlineStr">
        <is>
          <t>C1</t>
        </is>
      </c>
      <c r="G161" t="inlineStr">
        <is>
          <t>2.39</t>
        </is>
      </c>
      <c r="H161" t="n">
        <v>179.33</v>
      </c>
      <c r="I161" t="inlineStr">
        <is>
          <t>C1</t>
        </is>
      </c>
      <c r="J161" t="n">
        <v>0.0303831935368166</v>
      </c>
      <c r="K161" t="inlineStr"/>
      <c r="L161" t="n">
        <v>0.8354200000000001</v>
      </c>
      <c r="M161" t="n">
        <v>0.84416</v>
      </c>
      <c r="N161" t="inlineStr">
        <is>
          <t>Yes</t>
        </is>
      </c>
      <c r="O161" t="inlineStr">
        <is>
          <t>improve</t>
        </is>
      </c>
      <c r="P161" t="inlineStr">
        <is>
          <t>adjusted decimals</t>
        </is>
      </c>
      <c r="Q161" t="inlineStr"/>
      <c r="R161" t="inlineStr"/>
      <c r="S161">
        <f>HYPERLINK("https://helical-indexing-hi3d.streamlit.app/?emd_id=emd-33332&amp;rise=2.39&amp;twist=179.33&amp;csym=1&amp;rise2=2.42&amp;twist2=179.34&amp;csym2=1", "Link")</f>
        <v/>
      </c>
    </row>
    <row r="162">
      <c r="A162" t="inlineStr">
        <is>
          <t>EMD-26273</t>
        </is>
      </c>
      <c r="B162" t="inlineStr">
        <is>
          <t>amyloid</t>
        </is>
      </c>
      <c r="C162" t="n">
        <v>3</v>
      </c>
      <c r="D162" t="n">
        <v>4.8</v>
      </c>
      <c r="E162" t="n">
        <v>-0.4</v>
      </c>
      <c r="F162" t="inlineStr">
        <is>
          <t>C1</t>
        </is>
      </c>
      <c r="G162" t="inlineStr">
        <is>
          <t>4.8</t>
        </is>
      </c>
      <c r="H162" t="n">
        <v>-0.4</v>
      </c>
      <c r="I162" t="inlineStr">
        <is>
          <t>C1</t>
        </is>
      </c>
      <c r="J162" t="n">
        <v>0</v>
      </c>
      <c r="K162" t="inlineStr"/>
      <c r="L162" t="n">
        <v>0.96019</v>
      </c>
      <c r="M162" t="n">
        <v>0.96019</v>
      </c>
      <c r="N162" t="inlineStr">
        <is>
          <t>Yes</t>
        </is>
      </c>
      <c r="O162" t="inlineStr">
        <is>
          <t>equal</t>
        </is>
      </c>
      <c r="P162" t="inlineStr">
        <is>
          <t>deposited</t>
        </is>
      </c>
      <c r="Q162" t="inlineStr"/>
      <c r="R162" t="inlineStr"/>
      <c r="S162">
        <f>HYPERLINK("https://helical-indexing-hi3d.streamlit.app/?emd_id=emd-26273&amp;rise=4.8&amp;twist=-0.4&amp;csym=1&amp;rise2=4.8&amp;twist2=-0.4&amp;csym2=1", "Link")</f>
        <v/>
      </c>
    </row>
    <row r="163">
      <c r="A163" t="inlineStr">
        <is>
          <t>EMD-33333</t>
        </is>
      </c>
      <c r="B163" t="inlineStr">
        <is>
          <t>amyloid</t>
        </is>
      </c>
      <c r="C163" t="n">
        <v>3</v>
      </c>
      <c r="D163" t="n">
        <v>2.41</v>
      </c>
      <c r="E163" t="n">
        <v>179.42</v>
      </c>
      <c r="F163" t="inlineStr">
        <is>
          <t>C1</t>
        </is>
      </c>
      <c r="G163" t="inlineStr">
        <is>
          <t>2.41</t>
        </is>
      </c>
      <c r="H163" t="n">
        <v>179.42</v>
      </c>
      <c r="I163" t="inlineStr">
        <is>
          <t>C1</t>
        </is>
      </c>
      <c r="J163" t="n">
        <v>0</v>
      </c>
      <c r="K163" t="inlineStr"/>
      <c r="L163" t="n">
        <v>0.9422700000000001</v>
      </c>
      <c r="M163" t="n">
        <v>0.9422700000000001</v>
      </c>
      <c r="N163" t="inlineStr">
        <is>
          <t>Yes</t>
        </is>
      </c>
      <c r="O163" t="inlineStr">
        <is>
          <t>equal</t>
        </is>
      </c>
      <c r="P163" t="inlineStr">
        <is>
          <t>deposited</t>
        </is>
      </c>
      <c r="Q163" t="inlineStr"/>
      <c r="R163" t="inlineStr"/>
      <c r="S163">
        <f>HYPERLINK("https://helical-indexing-hi3d.streamlit.app/?emd_id=emd-33333&amp;rise=2.41&amp;twist=179.42&amp;csym=1&amp;rise2=2.41&amp;twist2=179.42&amp;csym2=1", "Link")</f>
        <v/>
      </c>
    </row>
    <row r="164">
      <c r="A164" t="inlineStr">
        <is>
          <t>EMD-31703</t>
        </is>
      </c>
      <c r="B164" t="inlineStr">
        <is>
          <t>amyloid</t>
        </is>
      </c>
      <c r="C164" t="n">
        <v>3</v>
      </c>
      <c r="D164" t="n">
        <v>2.41</v>
      </c>
      <c r="E164" t="n">
        <v>179.46</v>
      </c>
      <c r="F164" t="inlineStr">
        <is>
          <t>C1</t>
        </is>
      </c>
      <c r="G164" t="inlineStr">
        <is>
          <t>2.41</t>
        </is>
      </c>
      <c r="H164" t="n">
        <v>179.46</v>
      </c>
      <c r="I164" t="inlineStr">
        <is>
          <t>C1</t>
        </is>
      </c>
      <c r="J164" t="n">
        <v>0</v>
      </c>
      <c r="K164" t="inlineStr"/>
      <c r="L164" t="n">
        <v>0.89188</v>
      </c>
      <c r="M164" t="n">
        <v>0.89188</v>
      </c>
      <c r="N164" t="inlineStr">
        <is>
          <t>Yes</t>
        </is>
      </c>
      <c r="O164" t="inlineStr">
        <is>
          <t>equal</t>
        </is>
      </c>
      <c r="P164" t="inlineStr">
        <is>
          <t>deposited</t>
        </is>
      </c>
      <c r="Q164" t="inlineStr"/>
      <c r="R164" t="inlineStr"/>
      <c r="S164">
        <f>HYPERLINK("https://helical-indexing-hi3d.streamlit.app/?emd_id=emd-31703&amp;rise=2.41&amp;twist=179.46&amp;csym=1&amp;rise2=2.41&amp;twist2=179.46&amp;csym2=1", "Link")</f>
        <v/>
      </c>
    </row>
    <row r="165">
      <c r="A165" t="inlineStr">
        <is>
          <t>EMD-23871</t>
        </is>
      </c>
      <c r="B165" t="inlineStr">
        <is>
          <t>amyloid</t>
        </is>
      </c>
      <c r="C165" t="n">
        <v>3</v>
      </c>
      <c r="D165" t="n">
        <v>4.77</v>
      </c>
      <c r="E165" t="n">
        <v>-1.2</v>
      </c>
      <c r="F165" t="inlineStr">
        <is>
          <t>C1</t>
        </is>
      </c>
      <c r="G165" t="inlineStr">
        <is>
          <t>4.77</t>
        </is>
      </c>
      <c r="H165" t="n">
        <v>-1.2</v>
      </c>
      <c r="I165" t="inlineStr">
        <is>
          <t>C1</t>
        </is>
      </c>
      <c r="J165" t="n">
        <v>0</v>
      </c>
      <c r="K165" t="inlineStr"/>
      <c r="L165" t="n">
        <v>0.9594</v>
      </c>
      <c r="M165" t="n">
        <v>0.9594</v>
      </c>
      <c r="N165" t="inlineStr">
        <is>
          <t>Yes</t>
        </is>
      </c>
      <c r="O165" t="inlineStr">
        <is>
          <t>equal</t>
        </is>
      </c>
      <c r="P165" t="inlineStr">
        <is>
          <t>deposited</t>
        </is>
      </c>
      <c r="Q165" t="inlineStr"/>
      <c r="R165" t="inlineStr"/>
      <c r="S165">
        <f>HYPERLINK("https://helical-indexing-hi3d.streamlit.app/?emd_id=emd-23871&amp;rise=4.77&amp;twist=-1.2&amp;csym=1&amp;rise2=4.77&amp;twist2=-1.2&amp;csym2=1", "Link")</f>
        <v/>
      </c>
    </row>
    <row r="166">
      <c r="A166" t="inlineStr">
        <is>
          <t>EMD-15222</t>
        </is>
      </c>
      <c r="B166" t="inlineStr">
        <is>
          <t>amyloid</t>
        </is>
      </c>
      <c r="C166" t="n">
        <v>3</v>
      </c>
      <c r="D166" t="n">
        <v>4.85</v>
      </c>
      <c r="E166" t="n">
        <v>-0.82</v>
      </c>
      <c r="F166" t="inlineStr">
        <is>
          <t>C1</t>
        </is>
      </c>
      <c r="G166" t="inlineStr">
        <is>
          <t>4.85</t>
        </is>
      </c>
      <c r="H166" t="n">
        <v>-0.82</v>
      </c>
      <c r="I166" t="inlineStr">
        <is>
          <t>C1</t>
        </is>
      </c>
      <c r="J166" t="n">
        <v>0</v>
      </c>
      <c r="K166" t="inlineStr"/>
      <c r="L166" t="n">
        <v>0.96891</v>
      </c>
      <c r="M166" t="n">
        <v>0.96891</v>
      </c>
      <c r="N166" t="inlineStr">
        <is>
          <t>Yes</t>
        </is>
      </c>
      <c r="O166" t="inlineStr">
        <is>
          <t>equal</t>
        </is>
      </c>
      <c r="P166" t="inlineStr">
        <is>
          <t>deposited</t>
        </is>
      </c>
      <c r="Q166" t="inlineStr"/>
      <c r="R166" t="inlineStr"/>
      <c r="S166">
        <f>HYPERLINK("https://helical-indexing-hi3d.streamlit.app/?emd_id=emd-15222&amp;rise=4.85&amp;twist=-0.82&amp;csym=1&amp;rise2=4.85&amp;twist2=-0.82&amp;csym2=1", "Link")</f>
        <v/>
      </c>
    </row>
    <row r="167">
      <c r="A167" t="inlineStr">
        <is>
          <t>EMD-15225</t>
        </is>
      </c>
      <c r="B167" t="inlineStr">
        <is>
          <t>amyloid</t>
        </is>
      </c>
      <c r="C167" t="n">
        <v>3</v>
      </c>
      <c r="D167" t="n">
        <v>4.8</v>
      </c>
      <c r="E167" t="n">
        <v>-0.99</v>
      </c>
      <c r="F167" t="inlineStr">
        <is>
          <t>C1</t>
        </is>
      </c>
      <c r="G167" t="inlineStr">
        <is>
          <t>4.8</t>
        </is>
      </c>
      <c r="H167" t="n">
        <v>-0.99</v>
      </c>
      <c r="I167" t="inlineStr">
        <is>
          <t>C1</t>
        </is>
      </c>
      <c r="J167" t="n">
        <v>0</v>
      </c>
      <c r="K167" t="inlineStr"/>
      <c r="L167" t="n">
        <v>0.95767</v>
      </c>
      <c r="M167" t="n">
        <v>0.95767</v>
      </c>
      <c r="N167" t="inlineStr">
        <is>
          <t>Yes</t>
        </is>
      </c>
      <c r="O167" t="inlineStr">
        <is>
          <t>equal</t>
        </is>
      </c>
      <c r="P167" t="inlineStr">
        <is>
          <t>deposited</t>
        </is>
      </c>
      <c r="Q167" t="inlineStr"/>
      <c r="R167" t="inlineStr"/>
      <c r="S167">
        <f>HYPERLINK("https://helical-indexing-hi3d.streamlit.app/?emd_id=emd-15225&amp;rise=4.8&amp;twist=-0.99&amp;csym=1&amp;rise2=4.8&amp;twist2=-0.99&amp;csym2=1", "Link")</f>
        <v/>
      </c>
    </row>
    <row r="168">
      <c r="A168" t="inlineStr">
        <is>
          <t>EMD-13219</t>
        </is>
      </c>
      <c r="B168" t="inlineStr">
        <is>
          <t>amyloid</t>
        </is>
      </c>
      <c r="C168" t="n">
        <v>3</v>
      </c>
      <c r="D168" t="n">
        <v>4.78</v>
      </c>
      <c r="E168" t="n">
        <v>-0.75</v>
      </c>
      <c r="F168" t="inlineStr">
        <is>
          <t>C1</t>
        </is>
      </c>
      <c r="G168" t="inlineStr">
        <is>
          <t>4.78</t>
        </is>
      </c>
      <c r="H168" t="n">
        <v>-0.75</v>
      </c>
      <c r="I168" t="inlineStr">
        <is>
          <t>C1</t>
        </is>
      </c>
      <c r="J168" t="n">
        <v>0</v>
      </c>
      <c r="K168" t="inlineStr"/>
      <c r="L168" t="n">
        <v>0.94803</v>
      </c>
      <c r="M168" t="n">
        <v>0.94803</v>
      </c>
      <c r="N168" t="inlineStr">
        <is>
          <t>Yes</t>
        </is>
      </c>
      <c r="O168" t="inlineStr">
        <is>
          <t>equal</t>
        </is>
      </c>
      <c r="P168" t="inlineStr">
        <is>
          <t>deposited</t>
        </is>
      </c>
      <c r="Q168" t="inlineStr"/>
      <c r="R168" t="inlineStr"/>
      <c r="S168">
        <f>HYPERLINK("https://helical-indexing-hi3d.streamlit.app/?emd_id=emd-13219&amp;rise=4.78&amp;twist=-0.75&amp;csym=1&amp;rise2=4.78&amp;twist2=-0.75&amp;csym2=1", "Link")</f>
        <v/>
      </c>
    </row>
    <row r="169">
      <c r="A169" t="inlineStr">
        <is>
          <t>EMD-33334</t>
        </is>
      </c>
      <c r="B169" t="inlineStr">
        <is>
          <t>amyloid</t>
        </is>
      </c>
      <c r="C169" t="n">
        <v>3</v>
      </c>
      <c r="D169" t="n">
        <v>2.42</v>
      </c>
      <c r="E169" t="n">
        <v>179.34</v>
      </c>
      <c r="F169" t="inlineStr">
        <is>
          <t>C1</t>
        </is>
      </c>
      <c r="G169" t="inlineStr">
        <is>
          <t>2.42</t>
        </is>
      </c>
      <c r="H169" t="n">
        <v>179.34</v>
      </c>
      <c r="I169" t="inlineStr">
        <is>
          <t>C1</t>
        </is>
      </c>
      <c r="J169" t="n">
        <v>0</v>
      </c>
      <c r="K169" t="inlineStr"/>
      <c r="L169" t="n">
        <v>0.95851</v>
      </c>
      <c r="M169" t="n">
        <v>0.95851</v>
      </c>
      <c r="N169" t="inlineStr">
        <is>
          <t>Yes</t>
        </is>
      </c>
      <c r="O169" t="inlineStr">
        <is>
          <t>equal</t>
        </is>
      </c>
      <c r="P169" t="inlineStr">
        <is>
          <t>deposited</t>
        </is>
      </c>
      <c r="Q169" t="inlineStr"/>
      <c r="R169" t="inlineStr"/>
      <c r="S169">
        <f>HYPERLINK("https://helical-indexing-hi3d.streamlit.app/?emd_id=emd-33334&amp;rise=2.42&amp;twist=179.34&amp;csym=1&amp;rise2=2.42&amp;twist2=179.34&amp;csym2=1", "Link")</f>
        <v/>
      </c>
    </row>
    <row r="170">
      <c r="A170" t="inlineStr">
        <is>
          <t>EMD-33055</t>
        </is>
      </c>
      <c r="B170" t="inlineStr">
        <is>
          <t>amyloid</t>
        </is>
      </c>
      <c r="C170" t="n">
        <v>3</v>
      </c>
      <c r="D170" t="n">
        <v>4.83</v>
      </c>
      <c r="E170" t="n">
        <v>-0.45</v>
      </c>
      <c r="F170" t="inlineStr">
        <is>
          <t>C1</t>
        </is>
      </c>
      <c r="G170" t="inlineStr">
        <is>
          <t>4.83</t>
        </is>
      </c>
      <c r="H170" t="n">
        <v>-0.45</v>
      </c>
      <c r="I170" t="inlineStr">
        <is>
          <t>C1</t>
        </is>
      </c>
      <c r="J170" t="n">
        <v>0</v>
      </c>
      <c r="K170" t="inlineStr"/>
      <c r="L170" t="n">
        <v>0.90774</v>
      </c>
      <c r="M170" t="n">
        <v>0.90774</v>
      </c>
      <c r="N170" t="inlineStr">
        <is>
          <t>Yes</t>
        </is>
      </c>
      <c r="O170" t="inlineStr">
        <is>
          <t>equal</t>
        </is>
      </c>
      <c r="P170" t="inlineStr">
        <is>
          <t>deposited</t>
        </is>
      </c>
      <c r="Q170" t="inlineStr"/>
      <c r="R170" t="inlineStr"/>
      <c r="S170">
        <f>HYPERLINK("https://helical-indexing-hi3d.streamlit.app/?emd_id=emd-33055&amp;rise=4.83&amp;twist=-0.45&amp;csym=1&amp;rise2=4.83&amp;twist2=-0.45&amp;csym2=1", "Link")</f>
        <v/>
      </c>
    </row>
    <row r="171">
      <c r="A171" t="inlineStr">
        <is>
          <t>EMD-16953</t>
        </is>
      </c>
      <c r="B171" t="inlineStr">
        <is>
          <t>amyloid</t>
        </is>
      </c>
      <c r="C171" t="n">
        <v>3</v>
      </c>
      <c r="D171" t="n">
        <v>2.41</v>
      </c>
      <c r="E171" t="n">
        <v>179.56</v>
      </c>
      <c r="F171" t="inlineStr">
        <is>
          <t>C1</t>
        </is>
      </c>
      <c r="G171" t="inlineStr">
        <is>
          <t>2.41</t>
        </is>
      </c>
      <c r="H171" t="n">
        <v>179.56</v>
      </c>
      <c r="I171" t="inlineStr">
        <is>
          <t>C1</t>
        </is>
      </c>
      <c r="J171" t="n">
        <v>0</v>
      </c>
      <c r="K171" t="inlineStr"/>
      <c r="L171" t="n">
        <v>0.95367</v>
      </c>
      <c r="M171" t="n">
        <v>0.95367</v>
      </c>
      <c r="N171" t="inlineStr">
        <is>
          <t>Yes</t>
        </is>
      </c>
      <c r="O171" t="inlineStr">
        <is>
          <t>equal</t>
        </is>
      </c>
      <c r="P171" t="inlineStr">
        <is>
          <t>deposited</t>
        </is>
      </c>
      <c r="Q171" t="inlineStr"/>
      <c r="R171" t="inlineStr"/>
      <c r="S171">
        <f>HYPERLINK("https://helical-indexing-hi3d.streamlit.app/?emd_id=emd-16953&amp;rise=2.41&amp;twist=179.56&amp;csym=1&amp;rise2=2.41&amp;twist2=179.56&amp;csym2=1", "Link")</f>
        <v/>
      </c>
    </row>
    <row r="172">
      <c r="A172" t="inlineStr">
        <is>
          <t>EMD-40061</t>
        </is>
      </c>
      <c r="B172" t="inlineStr">
        <is>
          <t>amyloid</t>
        </is>
      </c>
      <c r="C172" t="n">
        <v>3</v>
      </c>
      <c r="D172" t="n">
        <v>4.95</v>
      </c>
      <c r="E172" t="n">
        <v>-3.8</v>
      </c>
      <c r="F172" t="inlineStr">
        <is>
          <t>C2</t>
        </is>
      </c>
      <c r="G172" t="inlineStr">
        <is>
          <t>4.95</t>
        </is>
      </c>
      <c r="H172" t="n">
        <v>-3.8</v>
      </c>
      <c r="I172" t="inlineStr">
        <is>
          <t>C2</t>
        </is>
      </c>
      <c r="J172" t="n">
        <v>0</v>
      </c>
      <c r="K172" t="inlineStr"/>
      <c r="L172" t="n">
        <v>0.9879</v>
      </c>
      <c r="M172" t="n">
        <v>0.9879</v>
      </c>
      <c r="N172" t="inlineStr">
        <is>
          <t>Yes</t>
        </is>
      </c>
      <c r="O172" t="inlineStr">
        <is>
          <t>equal</t>
        </is>
      </c>
      <c r="P172" t="inlineStr">
        <is>
          <t>deposited</t>
        </is>
      </c>
      <c r="Q172" t="inlineStr"/>
      <c r="R172" t="inlineStr"/>
      <c r="S172">
        <f>HYPERLINK("https://helical-indexing-hi3d.streamlit.app/?emd_id=emd-40061&amp;rise=4.95&amp;twist=-3.8&amp;csym=2&amp;rise2=4.95&amp;twist2=-3.8&amp;csym2=2", "Link")</f>
        <v/>
      </c>
    </row>
    <row r="173">
      <c r="A173" t="inlineStr">
        <is>
          <t>EMD-18233</t>
        </is>
      </c>
      <c r="B173" t="inlineStr">
        <is>
          <t>amyloid</t>
        </is>
      </c>
      <c r="C173" t="n">
        <v>3</v>
      </c>
      <c r="D173" t="n">
        <v>4.76</v>
      </c>
      <c r="E173" t="n">
        <v>-0.99</v>
      </c>
      <c r="F173" t="inlineStr">
        <is>
          <t>C1</t>
        </is>
      </c>
      <c r="G173" t="inlineStr">
        <is>
          <t>4.76</t>
        </is>
      </c>
      <c r="H173" t="n">
        <v>-1.01</v>
      </c>
      <c r="I173" t="inlineStr">
        <is>
          <t>C1</t>
        </is>
      </c>
      <c r="J173" t="n">
        <v>0.0183096610378368</v>
      </c>
      <c r="K173" t="inlineStr"/>
      <c r="L173" t="n">
        <v>0.94421</v>
      </c>
      <c r="M173" t="n">
        <v>0.96632</v>
      </c>
      <c r="N173" t="inlineStr">
        <is>
          <t>Yes</t>
        </is>
      </c>
      <c r="O173" t="inlineStr">
        <is>
          <t>improve</t>
        </is>
      </c>
      <c r="P173" t="inlineStr">
        <is>
          <t>adjusted decimals</t>
        </is>
      </c>
      <c r="Q173" t="inlineStr"/>
      <c r="R173" t="inlineStr"/>
      <c r="S173">
        <f>HYPERLINK("https://helical-indexing-hi3d.streamlit.app/?emd_id=emd-18233&amp;rise=4.76&amp;twist=-1.01&amp;csym=1&amp;rise2=4.76&amp;twist2=-0.99&amp;csym2=1", "Link")</f>
        <v/>
      </c>
    </row>
    <row r="174">
      <c r="A174" t="inlineStr">
        <is>
          <t>EMD-15696</t>
        </is>
      </c>
      <c r="B174" t="inlineStr">
        <is>
          <t>amyloid</t>
        </is>
      </c>
      <c r="C174" t="n">
        <v>3</v>
      </c>
      <c r="D174" t="n">
        <v>2.39</v>
      </c>
      <c r="E174" t="n">
        <v>177.92</v>
      </c>
      <c r="F174" t="inlineStr">
        <is>
          <t>C1</t>
        </is>
      </c>
      <c r="G174" t="inlineStr">
        <is>
          <t>2.39</t>
        </is>
      </c>
      <c r="H174" t="n">
        <v>177.92</v>
      </c>
      <c r="I174" t="inlineStr">
        <is>
          <t>C1</t>
        </is>
      </c>
      <c r="J174" t="n">
        <v>0</v>
      </c>
      <c r="K174" t="inlineStr"/>
      <c r="L174" t="n">
        <v>0.95218</v>
      </c>
      <c r="M174" t="n">
        <v>0.95218</v>
      </c>
      <c r="N174" t="inlineStr">
        <is>
          <t>Yes</t>
        </is>
      </c>
      <c r="O174" t="inlineStr">
        <is>
          <t>equal</t>
        </is>
      </c>
      <c r="P174" t="inlineStr">
        <is>
          <t>deposited</t>
        </is>
      </c>
      <c r="Q174" t="inlineStr"/>
      <c r="R174" t="inlineStr"/>
      <c r="S174">
        <f>HYPERLINK("https://helical-indexing-hi3d.streamlit.app/?emd_id=emd-15696&amp;rise=2.39&amp;twist=177.92&amp;csym=1&amp;rise2=2.39&amp;twist2=177.92&amp;csym2=1", "Link")</f>
        <v/>
      </c>
    </row>
    <row r="175">
      <c r="A175" t="inlineStr">
        <is>
          <t>EMD-33970</t>
        </is>
      </c>
      <c r="B175" t="inlineStr">
        <is>
          <t>amyloid</t>
        </is>
      </c>
      <c r="C175" t="n">
        <v>3</v>
      </c>
      <c r="D175" t="n">
        <v>2.41</v>
      </c>
      <c r="E175" t="n">
        <v>179.62</v>
      </c>
      <c r="F175" t="inlineStr">
        <is>
          <t>C1</t>
        </is>
      </c>
      <c r="G175" t="inlineStr">
        <is>
          <t>2.41</t>
        </is>
      </c>
      <c r="H175" t="n">
        <v>179.62</v>
      </c>
      <c r="I175" t="inlineStr">
        <is>
          <t>C1</t>
        </is>
      </c>
      <c r="J175" t="n">
        <v>0</v>
      </c>
      <c r="K175" t="inlineStr"/>
      <c r="L175" t="n">
        <v>0.9532</v>
      </c>
      <c r="M175" t="n">
        <v>0.9532</v>
      </c>
      <c r="N175" t="inlineStr">
        <is>
          <t>Yes</t>
        </is>
      </c>
      <c r="O175" t="inlineStr">
        <is>
          <t>equal</t>
        </is>
      </c>
      <c r="P175" t="inlineStr">
        <is>
          <t>deposited</t>
        </is>
      </c>
      <c r="Q175" t="inlineStr"/>
      <c r="R175" t="inlineStr"/>
      <c r="S175">
        <f>HYPERLINK("https://helical-indexing-hi3d.streamlit.app/?emd_id=emd-33970&amp;rise=2.41&amp;twist=179.62&amp;csym=1&amp;rise2=2.41&amp;twist2=179.62&amp;csym2=1", "Link")</f>
        <v/>
      </c>
    </row>
    <row r="176">
      <c r="A176" t="inlineStr">
        <is>
          <t>EMD-16942</t>
        </is>
      </c>
      <c r="B176" t="inlineStr">
        <is>
          <t>amyloid</t>
        </is>
      </c>
      <c r="C176" t="n">
        <v>3</v>
      </c>
      <c r="D176" t="n">
        <v>4.77</v>
      </c>
      <c r="E176" t="n">
        <v>-3.23</v>
      </c>
      <c r="F176" t="inlineStr">
        <is>
          <t>C2</t>
        </is>
      </c>
      <c r="G176" t="inlineStr">
        <is>
          <t>4.77</t>
        </is>
      </c>
      <c r="H176" t="n">
        <v>-3.23</v>
      </c>
      <c r="I176" t="inlineStr">
        <is>
          <t>C2</t>
        </is>
      </c>
      <c r="J176" t="n">
        <v>0</v>
      </c>
      <c r="K176" t="inlineStr"/>
      <c r="L176" t="n">
        <v>0.95651</v>
      </c>
      <c r="M176" t="n">
        <v>0.95651</v>
      </c>
      <c r="N176" t="inlineStr">
        <is>
          <t>Yes</t>
        </is>
      </c>
      <c r="O176" t="inlineStr">
        <is>
          <t>equal</t>
        </is>
      </c>
      <c r="P176" t="inlineStr">
        <is>
          <t>deposited</t>
        </is>
      </c>
      <c r="Q176" t="inlineStr"/>
      <c r="R176" t="inlineStr"/>
      <c r="S176">
        <f>HYPERLINK("https://helical-indexing-hi3d.streamlit.app/?emd_id=emd-16942&amp;rise=4.77&amp;twist=-3.23&amp;csym=2&amp;rise2=4.77&amp;twist2=-3.23&amp;csym2=2", "Link")</f>
        <v/>
      </c>
    </row>
    <row r="177">
      <c r="A177" t="inlineStr">
        <is>
          <t>EMD-10514</t>
        </is>
      </c>
      <c r="B177" t="inlineStr">
        <is>
          <t>amyloid</t>
        </is>
      </c>
      <c r="C177" t="n">
        <v>3</v>
      </c>
      <c r="D177" t="n">
        <v>4.786</v>
      </c>
      <c r="E177" t="n">
        <v>-0.61</v>
      </c>
      <c r="F177" t="inlineStr">
        <is>
          <t>C2</t>
        </is>
      </c>
      <c r="G177" t="inlineStr">
        <is>
          <t>4.786</t>
        </is>
      </c>
      <c r="H177" t="n">
        <v>-0.61</v>
      </c>
      <c r="I177" t="inlineStr">
        <is>
          <t>C2</t>
        </is>
      </c>
      <c r="J177" t="n">
        <v>0</v>
      </c>
      <c r="K177" t="inlineStr"/>
      <c r="L177" t="n">
        <v>0.95884</v>
      </c>
      <c r="M177" t="n">
        <v>0.95884</v>
      </c>
      <c r="N177" t="inlineStr">
        <is>
          <t>Yes</t>
        </is>
      </c>
      <c r="O177" t="inlineStr">
        <is>
          <t>equal</t>
        </is>
      </c>
      <c r="P177" t="inlineStr">
        <is>
          <t>deposited</t>
        </is>
      </c>
      <c r="Q177" t="inlineStr"/>
      <c r="R177" t="inlineStr"/>
      <c r="S177">
        <f>HYPERLINK("https://helical-indexing-hi3d.streamlit.app/?emd_id=emd-10514&amp;rise=4.786&amp;twist=-0.61&amp;csym=2&amp;rise2=4.786&amp;twist2=-0.61&amp;csym2=2", "Link")</f>
        <v/>
      </c>
    </row>
    <row r="178">
      <c r="A178" t="inlineStr">
        <is>
          <t>EMD-20185</t>
        </is>
      </c>
      <c r="B178" t="inlineStr">
        <is>
          <t>amyloid</t>
        </is>
      </c>
      <c r="C178" t="n">
        <v>3</v>
      </c>
      <c r="D178" t="n">
        <v>2.4</v>
      </c>
      <c r="E178" t="n">
        <v>179.473</v>
      </c>
      <c r="F178" t="inlineStr">
        <is>
          <t>C1</t>
        </is>
      </c>
      <c r="G178" t="inlineStr">
        <is>
          <t>2.4</t>
        </is>
      </c>
      <c r="H178" t="n">
        <v>179.473</v>
      </c>
      <c r="I178" t="inlineStr">
        <is>
          <t>C1</t>
        </is>
      </c>
      <c r="J178" t="n">
        <v>0</v>
      </c>
      <c r="K178" t="inlineStr"/>
      <c r="L178" t="n">
        <v>0.8635</v>
      </c>
      <c r="M178" t="n">
        <v>0.8635</v>
      </c>
      <c r="N178" t="inlineStr">
        <is>
          <t>Yes</t>
        </is>
      </c>
      <c r="O178" t="inlineStr">
        <is>
          <t>equal</t>
        </is>
      </c>
      <c r="P178" t="inlineStr">
        <is>
          <t>deposited</t>
        </is>
      </c>
      <c r="Q178" t="inlineStr"/>
      <c r="R178" t="inlineStr"/>
      <c r="S178">
        <f>HYPERLINK("https://helical-indexing-hi3d.streamlit.app/?emd_id=emd-20185&amp;rise=2.4&amp;twist=179.473&amp;csym=1&amp;rise2=2.4&amp;twist2=179.473&amp;csym2=1", "Link")</f>
        <v/>
      </c>
    </row>
    <row r="179">
      <c r="A179" t="inlineStr">
        <is>
          <t>EMD-30931</t>
        </is>
      </c>
      <c r="B179" t="inlineStr">
        <is>
          <t>amyloid</t>
        </is>
      </c>
      <c r="C179" t="n">
        <v>3.02</v>
      </c>
      <c r="D179" t="n">
        <v>2.43</v>
      </c>
      <c r="E179" t="n">
        <v>-179.37</v>
      </c>
      <c r="F179" t="inlineStr">
        <is>
          <t>C1</t>
        </is>
      </c>
      <c r="G179" t="inlineStr">
        <is>
          <t>2.43</t>
        </is>
      </c>
      <c r="H179" t="n">
        <v>-179.37</v>
      </c>
      <c r="I179" t="inlineStr">
        <is>
          <t>C1</t>
        </is>
      </c>
      <c r="J179" t="n">
        <v>0</v>
      </c>
      <c r="K179" t="inlineStr"/>
      <c r="L179" t="n">
        <v>0.87513</v>
      </c>
      <c r="M179" t="n">
        <v>0.87513</v>
      </c>
      <c r="N179" t="inlineStr">
        <is>
          <t>Yes</t>
        </is>
      </c>
      <c r="O179" t="inlineStr">
        <is>
          <t>equal</t>
        </is>
      </c>
      <c r="P179" t="inlineStr">
        <is>
          <t>deposited</t>
        </is>
      </c>
      <c r="Q179" t="inlineStr"/>
      <c r="R179" t="inlineStr"/>
      <c r="S179">
        <f>HYPERLINK("https://helical-indexing-hi3d.streamlit.app/?emd_id=emd-30931&amp;rise=2.43&amp;twist=-179.37&amp;csym=1&amp;rise2=2.43&amp;twist2=-179.37&amp;csym2=1", "Link")</f>
        <v/>
      </c>
    </row>
    <row r="180">
      <c r="A180" t="inlineStr">
        <is>
          <t>EMD-13124</t>
        </is>
      </c>
      <c r="B180" t="inlineStr">
        <is>
          <t>amyloid</t>
        </is>
      </c>
      <c r="C180" t="n">
        <v>3.02</v>
      </c>
      <c r="D180" t="n">
        <v>2.37</v>
      </c>
      <c r="E180" t="n">
        <v>179.66</v>
      </c>
      <c r="F180" t="inlineStr">
        <is>
          <t>C1</t>
        </is>
      </c>
      <c r="G180" t="inlineStr">
        <is>
          <t>2.37</t>
        </is>
      </c>
      <c r="H180" t="n">
        <v>179.66</v>
      </c>
      <c r="I180" t="inlineStr">
        <is>
          <t>C1</t>
        </is>
      </c>
      <c r="J180" t="n">
        <v>0</v>
      </c>
      <c r="K180" t="inlineStr"/>
      <c r="L180" t="n">
        <v>0.93527</v>
      </c>
      <c r="M180" t="n">
        <v>0.93527</v>
      </c>
      <c r="N180" t="inlineStr">
        <is>
          <t>Yes</t>
        </is>
      </c>
      <c r="O180" t="inlineStr">
        <is>
          <t>equal</t>
        </is>
      </c>
      <c r="P180" t="inlineStr">
        <is>
          <t>deposited</t>
        </is>
      </c>
      <c r="Q180" t="inlineStr"/>
      <c r="R180" t="inlineStr"/>
      <c r="S180">
        <f>HYPERLINK("https://helical-indexing-hi3d.streamlit.app/?emd_id=emd-13124&amp;rise=2.37&amp;twist=179.66&amp;csym=1&amp;rise2=2.37&amp;twist2=179.66&amp;csym2=1", "Link")</f>
        <v/>
      </c>
    </row>
    <row r="181">
      <c r="A181" t="inlineStr">
        <is>
          <t>EMD-14028</t>
        </is>
      </c>
      <c r="B181" t="inlineStr">
        <is>
          <t>amyloid</t>
        </is>
      </c>
      <c r="C181" t="n">
        <v>3.03</v>
      </c>
      <c r="D181" t="n">
        <v>4.77</v>
      </c>
      <c r="E181" t="n">
        <v>-1.25</v>
      </c>
      <c r="F181" t="inlineStr">
        <is>
          <t>C1</t>
        </is>
      </c>
      <c r="G181" t="inlineStr">
        <is>
          <t>4.77</t>
        </is>
      </c>
      <c r="H181" t="n">
        <v>-1.25</v>
      </c>
      <c r="I181" t="inlineStr">
        <is>
          <t>C1</t>
        </is>
      </c>
      <c r="J181" t="n">
        <v>0</v>
      </c>
      <c r="K181" t="inlineStr"/>
      <c r="L181" t="n">
        <v>0.92652</v>
      </c>
      <c r="M181" t="n">
        <v>0.92652</v>
      </c>
      <c r="N181" t="inlineStr">
        <is>
          <t>Yes</t>
        </is>
      </c>
      <c r="O181" t="inlineStr">
        <is>
          <t>equal</t>
        </is>
      </c>
      <c r="P181" t="inlineStr">
        <is>
          <t>deposited</t>
        </is>
      </c>
      <c r="Q181" t="inlineStr"/>
      <c r="R181" t="inlineStr"/>
      <c r="S181">
        <f>HYPERLINK("https://helical-indexing-hi3d.streamlit.app/?emd_id=emd-14028&amp;rise=4.77&amp;twist=-1.25&amp;csym=1&amp;rise2=4.77&amp;twist2=-1.25&amp;csym2=1", "Link")</f>
        <v/>
      </c>
    </row>
    <row r="182">
      <c r="A182" t="inlineStr">
        <is>
          <t>EMD-18273</t>
        </is>
      </c>
      <c r="B182" t="inlineStr">
        <is>
          <t>amyloid</t>
        </is>
      </c>
      <c r="C182" t="n">
        <v>3.04</v>
      </c>
      <c r="D182" t="n">
        <v>4.76</v>
      </c>
      <c r="E182" t="n">
        <v>-1.24</v>
      </c>
      <c r="F182" t="inlineStr">
        <is>
          <t>C1</t>
        </is>
      </c>
      <c r="G182" t="inlineStr">
        <is>
          <t>4.76</t>
        </is>
      </c>
      <c r="H182" t="n">
        <v>-1.24</v>
      </c>
      <c r="I182" t="inlineStr">
        <is>
          <t>C1</t>
        </is>
      </c>
      <c r="J182" t="n">
        <v>0</v>
      </c>
      <c r="K182" t="inlineStr"/>
      <c r="L182" t="n">
        <v>0.96271</v>
      </c>
      <c r="M182" t="n">
        <v>0.96271</v>
      </c>
      <c r="N182" t="inlineStr">
        <is>
          <t>Yes</t>
        </is>
      </c>
      <c r="O182" t="inlineStr">
        <is>
          <t>equal</t>
        </is>
      </c>
      <c r="P182" t="inlineStr">
        <is>
          <t>deposited</t>
        </is>
      </c>
      <c r="Q182" t="inlineStr"/>
      <c r="R182" t="inlineStr"/>
      <c r="S182">
        <f>HYPERLINK("https://helical-indexing-hi3d.streamlit.app/?emd_id=emd-18273&amp;rise=4.76&amp;twist=-1.24&amp;csym=1&amp;rise2=4.76&amp;twist2=-1.24&amp;csym2=1", "Link")</f>
        <v/>
      </c>
    </row>
    <row r="183">
      <c r="A183" t="inlineStr">
        <is>
          <t>EMD-18254</t>
        </is>
      </c>
      <c r="B183" t="inlineStr">
        <is>
          <t>amyloid</t>
        </is>
      </c>
      <c r="C183" t="n">
        <v>3.04</v>
      </c>
      <c r="D183" t="n">
        <v>4.77</v>
      </c>
      <c r="E183" t="n">
        <v>-1.05</v>
      </c>
      <c r="F183" t="inlineStr">
        <is>
          <t>C1</t>
        </is>
      </c>
      <c r="G183" t="inlineStr">
        <is>
          <t>4.77</t>
        </is>
      </c>
      <c r="H183" t="n">
        <v>-1.05</v>
      </c>
      <c r="I183" t="inlineStr">
        <is>
          <t>C1</t>
        </is>
      </c>
      <c r="J183" t="n">
        <v>0</v>
      </c>
      <c r="K183" t="inlineStr"/>
      <c r="L183" t="n">
        <v>0.96773</v>
      </c>
      <c r="M183" t="n">
        <v>0.96773</v>
      </c>
      <c r="N183" t="inlineStr">
        <is>
          <t>Yes</t>
        </is>
      </c>
      <c r="O183" t="inlineStr">
        <is>
          <t>equal</t>
        </is>
      </c>
      <c r="P183" t="inlineStr">
        <is>
          <t>deposited</t>
        </is>
      </c>
      <c r="Q183" t="inlineStr"/>
      <c r="R183" t="inlineStr"/>
      <c r="S183">
        <f>HYPERLINK("https://helical-indexing-hi3d.streamlit.app/?emd_id=emd-18254&amp;rise=4.77&amp;twist=-1.05&amp;csym=1&amp;rise2=4.77&amp;twist2=-1.05&amp;csym2=1", "Link")</f>
        <v/>
      </c>
    </row>
    <row r="184">
      <c r="A184" t="inlineStr">
        <is>
          <t>EMD-18251</t>
        </is>
      </c>
      <c r="B184" t="inlineStr">
        <is>
          <t>amyloid</t>
        </is>
      </c>
      <c r="C184" t="n">
        <v>3.04</v>
      </c>
      <c r="D184" t="n">
        <v>4.77</v>
      </c>
      <c r="E184" t="n">
        <v>-1.07</v>
      </c>
      <c r="F184" t="inlineStr">
        <is>
          <t>C1</t>
        </is>
      </c>
      <c r="G184" t="inlineStr">
        <is>
          <t>4.77</t>
        </is>
      </c>
      <c r="H184" t="n">
        <v>-1.07</v>
      </c>
      <c r="I184" t="inlineStr">
        <is>
          <t>C1</t>
        </is>
      </c>
      <c r="J184" t="n">
        <v>0</v>
      </c>
      <c r="K184" t="inlineStr"/>
      <c r="L184" t="n">
        <v>0.96262</v>
      </c>
      <c r="M184" t="n">
        <v>0.96262</v>
      </c>
      <c r="N184" t="inlineStr">
        <is>
          <t>Yes</t>
        </is>
      </c>
      <c r="O184" t="inlineStr">
        <is>
          <t>equal</t>
        </is>
      </c>
      <c r="P184" t="inlineStr">
        <is>
          <t>deposited</t>
        </is>
      </c>
      <c r="Q184" t="inlineStr"/>
      <c r="R184" t="inlineStr"/>
      <c r="S184">
        <f>HYPERLINK("https://helical-indexing-hi3d.streamlit.app/?emd_id=emd-18251&amp;rise=4.77&amp;twist=-1.07&amp;csym=1&amp;rise2=4.77&amp;twist2=-1.07&amp;csym2=1", "Link")</f>
        <v/>
      </c>
    </row>
    <row r="185">
      <c r="A185" t="inlineStr">
        <is>
          <t>EMD-15369</t>
        </is>
      </c>
      <c r="B185" t="inlineStr">
        <is>
          <t>amyloid</t>
        </is>
      </c>
      <c r="C185" t="n">
        <v>3.05</v>
      </c>
      <c r="D185" t="n">
        <v>4.69</v>
      </c>
      <c r="E185" t="n">
        <v>-0.82</v>
      </c>
      <c r="F185" t="inlineStr">
        <is>
          <t>C1</t>
        </is>
      </c>
      <c r="G185" t="inlineStr">
        <is>
          <t>4.69</t>
        </is>
      </c>
      <c r="H185" t="n">
        <v>-0.82</v>
      </c>
      <c r="I185" t="inlineStr">
        <is>
          <t>C1</t>
        </is>
      </c>
      <c r="J185" t="n">
        <v>0</v>
      </c>
      <c r="K185" t="inlineStr"/>
      <c r="L185" t="n">
        <v>0.9536</v>
      </c>
      <c r="M185" t="n">
        <v>0.9536</v>
      </c>
      <c r="N185" t="inlineStr">
        <is>
          <t>Yes</t>
        </is>
      </c>
      <c r="O185" t="inlineStr">
        <is>
          <t>equal</t>
        </is>
      </c>
      <c r="P185" t="inlineStr">
        <is>
          <t>deposited</t>
        </is>
      </c>
      <c r="Q185" t="inlineStr"/>
      <c r="R185" t="inlineStr"/>
      <c r="S185">
        <f>HYPERLINK("https://helical-indexing-hi3d.streamlit.app/?emd_id=emd-15369&amp;rise=4.69&amp;twist=-0.82&amp;csym=1&amp;rise2=4.69&amp;twist2=-0.82&amp;csym2=1", "Link")</f>
        <v/>
      </c>
    </row>
    <row r="186">
      <c r="A186" t="inlineStr">
        <is>
          <t>EMD-18268</t>
        </is>
      </c>
      <c r="B186" t="inlineStr">
        <is>
          <t>amyloid</t>
        </is>
      </c>
      <c r="C186" t="n">
        <v>3.05</v>
      </c>
      <c r="D186" t="n">
        <v>4.71</v>
      </c>
      <c r="E186" t="n">
        <v>-0.98</v>
      </c>
      <c r="F186" t="inlineStr">
        <is>
          <t>C1</t>
        </is>
      </c>
      <c r="G186" t="inlineStr">
        <is>
          <t>4.71</t>
        </is>
      </c>
      <c r="H186" t="n">
        <v>-0.98</v>
      </c>
      <c r="I186" t="inlineStr">
        <is>
          <t>C1</t>
        </is>
      </c>
      <c r="J186" t="n">
        <v>0</v>
      </c>
      <c r="K186" t="inlineStr"/>
      <c r="L186" t="n">
        <v>0.9608100000000001</v>
      </c>
      <c r="M186" t="n">
        <v>0.9608100000000001</v>
      </c>
      <c r="N186" t="inlineStr">
        <is>
          <t>Yes</t>
        </is>
      </c>
      <c r="O186" t="inlineStr">
        <is>
          <t>equal</t>
        </is>
      </c>
      <c r="P186" t="inlineStr">
        <is>
          <t>deposited</t>
        </is>
      </c>
      <c r="Q186" t="inlineStr"/>
      <c r="R186" t="inlineStr"/>
      <c r="S186">
        <f>HYPERLINK("https://helical-indexing-hi3d.streamlit.app/?emd_id=emd-18268&amp;rise=4.71&amp;twist=-0.98&amp;csym=1&amp;rise2=4.71&amp;twist2=-0.98&amp;csym2=1", "Link")</f>
        <v/>
      </c>
    </row>
    <row r="187">
      <c r="A187" t="inlineStr">
        <is>
          <t>EMD-30887</t>
        </is>
      </c>
      <c r="B187" t="inlineStr">
        <is>
          <t>amyloid</t>
        </is>
      </c>
      <c r="C187" t="n">
        <v>3.07</v>
      </c>
      <c r="D187" t="n">
        <v>2.40873</v>
      </c>
      <c r="E187" t="n">
        <v>179.657</v>
      </c>
      <c r="F187" t="inlineStr">
        <is>
          <t>C1</t>
        </is>
      </c>
      <c r="G187" t="inlineStr">
        <is>
          <t>2.40873</t>
        </is>
      </c>
      <c r="H187" t="n">
        <v>179.657</v>
      </c>
      <c r="I187" t="inlineStr">
        <is>
          <t>C1</t>
        </is>
      </c>
      <c r="J187" t="n">
        <v>0</v>
      </c>
      <c r="K187" t="inlineStr"/>
      <c r="L187" t="n">
        <v>0.88744</v>
      </c>
      <c r="M187" t="n">
        <v>0.88744</v>
      </c>
      <c r="N187" t="inlineStr">
        <is>
          <t>Yes</t>
        </is>
      </c>
      <c r="O187" t="inlineStr">
        <is>
          <t>equal</t>
        </is>
      </c>
      <c r="P187" t="inlineStr">
        <is>
          <t>deposited</t>
        </is>
      </c>
      <c r="Q187" t="inlineStr"/>
      <c r="R187" t="inlineStr"/>
      <c r="S187">
        <f>HYPERLINK("https://helical-indexing-hi3d.streamlit.app/?emd_id=emd-30887&amp;rise=2.40873&amp;twist=179.657&amp;csym=1&amp;rise2=2.40873&amp;twist2=179.657&amp;csym2=1", "Link")</f>
        <v/>
      </c>
    </row>
    <row r="188">
      <c r="A188" t="inlineStr">
        <is>
          <t>EMD-23890</t>
        </is>
      </c>
      <c r="B188" t="inlineStr">
        <is>
          <t>amyloid</t>
        </is>
      </c>
      <c r="C188" t="n">
        <v>3.07</v>
      </c>
      <c r="D188" t="n">
        <v>4.79</v>
      </c>
      <c r="E188" t="n">
        <v>-1.07</v>
      </c>
      <c r="F188" t="inlineStr">
        <is>
          <t>C1</t>
        </is>
      </c>
      <c r="G188" t="inlineStr">
        <is>
          <t>4.79</t>
        </is>
      </c>
      <c r="H188" t="n">
        <v>-1.07</v>
      </c>
      <c r="I188" t="inlineStr">
        <is>
          <t>C1</t>
        </is>
      </c>
      <c r="J188" t="n">
        <v>0</v>
      </c>
      <c r="K188" t="inlineStr"/>
      <c r="L188" t="n">
        <v>0.96151</v>
      </c>
      <c r="M188" t="n">
        <v>0.96151</v>
      </c>
      <c r="N188" t="inlineStr">
        <is>
          <t>Yes</t>
        </is>
      </c>
      <c r="O188" t="inlineStr">
        <is>
          <t>equal</t>
        </is>
      </c>
      <c r="P188" t="inlineStr">
        <is>
          <t>deposited</t>
        </is>
      </c>
      <c r="Q188" t="inlineStr"/>
      <c r="R188" t="inlineStr"/>
      <c r="S188">
        <f>HYPERLINK("https://helical-indexing-hi3d.streamlit.app/?emd_id=emd-23890&amp;rise=4.79&amp;twist=-1.07&amp;csym=1&amp;rise2=4.79&amp;twist2=-1.07&amp;csym2=1", "Link")</f>
        <v/>
      </c>
    </row>
    <row r="189">
      <c r="A189" t="inlineStr">
        <is>
          <t>EMD-6988</t>
        </is>
      </c>
      <c r="B189" t="inlineStr">
        <is>
          <t>amyloid</t>
        </is>
      </c>
      <c r="C189" t="n">
        <v>3.07</v>
      </c>
      <c r="D189" t="n">
        <v>2.393</v>
      </c>
      <c r="E189" t="n">
        <v>179.641</v>
      </c>
      <c r="F189" t="inlineStr">
        <is>
          <t>C1</t>
        </is>
      </c>
      <c r="G189" t="inlineStr">
        <is>
          <t>2.393</t>
        </is>
      </c>
      <c r="H189" t="n">
        <v>179.641</v>
      </c>
      <c r="I189" t="inlineStr">
        <is>
          <t>C1</t>
        </is>
      </c>
      <c r="J189" t="n">
        <v>0</v>
      </c>
      <c r="K189" t="inlineStr"/>
      <c r="L189" t="n">
        <v>0.98967</v>
      </c>
      <c r="M189" t="n">
        <v>0.98967</v>
      </c>
      <c r="N189" t="inlineStr">
        <is>
          <t>Yes</t>
        </is>
      </c>
      <c r="O189" t="inlineStr">
        <is>
          <t>equal</t>
        </is>
      </c>
      <c r="P189" t="inlineStr">
        <is>
          <t>deposited</t>
        </is>
      </c>
      <c r="Q189" t="inlineStr"/>
      <c r="R189" t="inlineStr"/>
      <c r="S189">
        <f>HYPERLINK("https://helical-indexing-hi3d.streamlit.app/?emd_id=emd-6988&amp;rise=2.393&amp;twist=179.641&amp;csym=1&amp;rise2=2.393&amp;twist2=179.641&amp;csym2=1", "Link")</f>
        <v/>
      </c>
    </row>
    <row r="190">
      <c r="A190" t="inlineStr">
        <is>
          <t>EMD-10652</t>
        </is>
      </c>
      <c r="B190" t="inlineStr">
        <is>
          <t>amyloid</t>
        </is>
      </c>
      <c r="C190" t="n">
        <v>3.09</v>
      </c>
      <c r="D190" t="n">
        <v>4.72</v>
      </c>
      <c r="E190" t="n">
        <v>-1.34</v>
      </c>
      <c r="F190" t="inlineStr">
        <is>
          <t>C1</t>
        </is>
      </c>
      <c r="G190" t="inlineStr">
        <is>
          <t>4.72</t>
        </is>
      </c>
      <c r="H190" t="n">
        <v>-1.34</v>
      </c>
      <c r="I190" t="inlineStr">
        <is>
          <t>C1</t>
        </is>
      </c>
      <c r="J190" t="n">
        <v>0</v>
      </c>
      <c r="K190" t="inlineStr"/>
      <c r="L190" t="n">
        <v>0.95263</v>
      </c>
      <c r="M190" t="n">
        <v>0.95263</v>
      </c>
      <c r="N190" t="inlineStr">
        <is>
          <t>Yes</t>
        </is>
      </c>
      <c r="O190" t="inlineStr">
        <is>
          <t>equal</t>
        </is>
      </c>
      <c r="P190" t="inlineStr">
        <is>
          <t>deposited</t>
        </is>
      </c>
      <c r="Q190" t="inlineStr"/>
      <c r="R190" t="inlineStr"/>
      <c r="S190">
        <f>HYPERLINK("https://helical-indexing-hi3d.streamlit.app/?emd_id=emd-10652&amp;rise=4.72&amp;twist=-1.34&amp;csym=1&amp;rise2=4.72&amp;twist2=-1.34&amp;csym2=1", "Link")</f>
        <v/>
      </c>
    </row>
    <row r="191">
      <c r="A191" t="inlineStr">
        <is>
          <t>EMD-18269</t>
        </is>
      </c>
      <c r="B191" t="inlineStr">
        <is>
          <t>amyloid</t>
        </is>
      </c>
      <c r="C191" t="n">
        <v>3.09</v>
      </c>
      <c r="D191" t="n">
        <v>4.75</v>
      </c>
      <c r="E191" t="n">
        <v>-0.83</v>
      </c>
      <c r="F191" t="inlineStr">
        <is>
          <t>C1</t>
        </is>
      </c>
      <c r="G191" t="inlineStr">
        <is>
          <t>4.75</t>
        </is>
      </c>
      <c r="H191" t="n">
        <v>-0.83</v>
      </c>
      <c r="I191" t="inlineStr">
        <is>
          <t>C1</t>
        </is>
      </c>
      <c r="J191" t="n">
        <v>0</v>
      </c>
      <c r="K191" t="inlineStr"/>
      <c r="L191" t="n">
        <v>0.93888</v>
      </c>
      <c r="M191" t="n">
        <v>0.93888</v>
      </c>
      <c r="N191" t="inlineStr">
        <is>
          <t>Yes</t>
        </is>
      </c>
      <c r="O191" t="inlineStr">
        <is>
          <t>equal</t>
        </is>
      </c>
      <c r="P191" t="inlineStr">
        <is>
          <t>deposited</t>
        </is>
      </c>
      <c r="Q191" t="inlineStr"/>
      <c r="R191" t="inlineStr"/>
      <c r="S191">
        <f>HYPERLINK("https://helical-indexing-hi3d.streamlit.app/?emd_id=emd-18269&amp;rise=4.75&amp;twist=-0.83&amp;csym=1&amp;rise2=4.75&amp;twist2=-0.83&amp;csym2=1", "Link")</f>
        <v/>
      </c>
    </row>
    <row r="192">
      <c r="A192" t="inlineStr">
        <is>
          <t>EMD-15755</t>
        </is>
      </c>
      <c r="B192" t="inlineStr">
        <is>
          <t>amyloid</t>
        </is>
      </c>
      <c r="C192" t="n">
        <v>3.1</v>
      </c>
      <c r="D192" t="n">
        <v>2.41</v>
      </c>
      <c r="E192" t="n">
        <v>178.91</v>
      </c>
      <c r="F192" t="inlineStr">
        <is>
          <t>C1</t>
        </is>
      </c>
      <c r="G192" t="inlineStr">
        <is>
          <t>2.41</t>
        </is>
      </c>
      <c r="H192" t="n">
        <v>178.91</v>
      </c>
      <c r="I192" t="inlineStr">
        <is>
          <t>C1</t>
        </is>
      </c>
      <c r="J192" t="n">
        <v>0</v>
      </c>
      <c r="K192" t="inlineStr"/>
      <c r="L192" t="n">
        <v>0.94818</v>
      </c>
      <c r="M192" t="n">
        <v>0.94818</v>
      </c>
      <c r="N192" t="inlineStr">
        <is>
          <t>Yes</t>
        </is>
      </c>
      <c r="O192" t="inlineStr">
        <is>
          <t>equal</t>
        </is>
      </c>
      <c r="P192" t="inlineStr">
        <is>
          <t>deposited</t>
        </is>
      </c>
      <c r="Q192" t="inlineStr"/>
      <c r="R192" t="inlineStr"/>
      <c r="S192">
        <f>HYPERLINK("https://helical-indexing-hi3d.streamlit.app/?emd_id=emd-15755&amp;rise=2.41&amp;twist=178.91&amp;csym=1&amp;rise2=2.41&amp;twist2=178.91&amp;csym2=1", "Link")</f>
        <v/>
      </c>
    </row>
    <row r="193">
      <c r="A193" t="inlineStr">
        <is>
          <t>EMD-31428</t>
        </is>
      </c>
      <c r="B193" t="inlineStr">
        <is>
          <t>amyloid</t>
        </is>
      </c>
      <c r="C193" t="n">
        <v>3.1</v>
      </c>
      <c r="D193" t="n">
        <v>2.4</v>
      </c>
      <c r="E193" t="n">
        <v>179.324</v>
      </c>
      <c r="F193" t="inlineStr">
        <is>
          <t>C1</t>
        </is>
      </c>
      <c r="G193" t="inlineStr">
        <is>
          <t>2.4</t>
        </is>
      </c>
      <c r="H193" t="n">
        <v>179.324</v>
      </c>
      <c r="I193" t="inlineStr">
        <is>
          <t>C1</t>
        </is>
      </c>
      <c r="J193" t="n">
        <v>0</v>
      </c>
      <c r="K193" t="inlineStr"/>
      <c r="L193" t="n">
        <v>0.86273</v>
      </c>
      <c r="M193" t="n">
        <v>0.86273</v>
      </c>
      <c r="N193" t="inlineStr">
        <is>
          <t>Yes</t>
        </is>
      </c>
      <c r="O193" t="inlineStr">
        <is>
          <t>equal</t>
        </is>
      </c>
      <c r="P193" t="inlineStr">
        <is>
          <t>deposited</t>
        </is>
      </c>
      <c r="Q193" t="inlineStr"/>
      <c r="R193" t="inlineStr"/>
      <c r="S193">
        <f>HYPERLINK("https://helical-indexing-hi3d.streamlit.app/?emd_id=emd-31428&amp;rise=2.4&amp;twist=179.324&amp;csym=1&amp;rise2=2.4&amp;twist2=179.324&amp;csym2=1", "Link")</f>
        <v/>
      </c>
    </row>
    <row r="194">
      <c r="A194" t="inlineStr">
        <is>
          <t>EMD-15772</t>
        </is>
      </c>
      <c r="B194" t="inlineStr">
        <is>
          <t>amyloid</t>
        </is>
      </c>
      <c r="C194" t="n">
        <v>3.1</v>
      </c>
      <c r="D194" t="n">
        <v>2.4</v>
      </c>
      <c r="E194" t="n">
        <v>179.4</v>
      </c>
      <c r="F194" t="inlineStr">
        <is>
          <t>C1</t>
        </is>
      </c>
      <c r="G194" t="inlineStr">
        <is>
          <t>2.39</t>
        </is>
      </c>
      <c r="H194" t="n">
        <v>179.42</v>
      </c>
      <c r="I194" t="inlineStr">
        <is>
          <t>C1</t>
        </is>
      </c>
      <c r="J194" t="n">
        <v>0.0127510837698359</v>
      </c>
      <c r="K194" t="inlineStr"/>
      <c r="L194" t="n">
        <v>0.9392</v>
      </c>
      <c r="M194" t="n">
        <v>0.95589</v>
      </c>
      <c r="N194" t="inlineStr">
        <is>
          <t>Yes</t>
        </is>
      </c>
      <c r="O194" t="inlineStr">
        <is>
          <t>improve</t>
        </is>
      </c>
      <c r="P194" t="inlineStr">
        <is>
          <t>adjusted decimals</t>
        </is>
      </c>
      <c r="Q194" t="inlineStr"/>
      <c r="R194" t="inlineStr"/>
      <c r="S194">
        <f>HYPERLINK("https://helical-indexing-hi3d.streamlit.app/?emd_id=emd-15772&amp;rise=2.39&amp;twist=179.42&amp;csym=1&amp;rise2=2.4&amp;twist2=179.4&amp;csym2=1", "Link")</f>
        <v/>
      </c>
    </row>
    <row r="195">
      <c r="A195" t="inlineStr">
        <is>
          <t>EMD-27083</t>
        </is>
      </c>
      <c r="B195" t="inlineStr">
        <is>
          <t>amyloid</t>
        </is>
      </c>
      <c r="C195" t="n">
        <v>3.1</v>
      </c>
      <c r="D195" t="n">
        <v>4.84</v>
      </c>
      <c r="E195" t="n">
        <v>-0.86</v>
      </c>
      <c r="F195" t="inlineStr">
        <is>
          <t>C1</t>
        </is>
      </c>
      <c r="G195" t="inlineStr">
        <is>
          <t>4.8</t>
        </is>
      </c>
      <c r="H195" t="n">
        <v>-0.784</v>
      </c>
      <c r="I195" t="inlineStr">
        <is>
          <t>C1</t>
        </is>
      </c>
      <c r="J195" t="n">
        <v>0.053281915</v>
      </c>
      <c r="K195" t="inlineStr"/>
      <c r="L195" t="n">
        <v>0.80585</v>
      </c>
      <c r="M195" t="n">
        <v>0.80683</v>
      </c>
      <c r="N195" t="inlineStr">
        <is>
          <t>Yes</t>
        </is>
      </c>
      <c r="O195" t="inlineStr">
        <is>
          <t>improve</t>
        </is>
      </c>
      <c r="P195" t="inlineStr">
        <is>
          <t>adjusted decimals</t>
        </is>
      </c>
      <c r="Q195" t="inlineStr"/>
      <c r="R195" t="inlineStr"/>
      <c r="S195">
        <f>HYPERLINK("https://helical-indexing-hi3d.streamlit.app/?emd_id=emd-27083&amp;rise=4.8&amp;twist=-0.784&amp;csym=1&amp;rise2=4.84&amp;twist2=-0.86&amp;csym2=1", "Link")</f>
        <v/>
      </c>
    </row>
    <row r="196">
      <c r="A196" t="inlineStr">
        <is>
          <t>EMD-13220</t>
        </is>
      </c>
      <c r="B196" t="inlineStr">
        <is>
          <t>amyloid</t>
        </is>
      </c>
      <c r="C196" t="n">
        <v>3.1</v>
      </c>
      <c r="D196" t="n">
        <v>2.37</v>
      </c>
      <c r="E196" t="n">
        <v>179.65</v>
      </c>
      <c r="F196" t="inlineStr">
        <is>
          <t>C1</t>
        </is>
      </c>
      <c r="G196" t="inlineStr">
        <is>
          <t>2.37</t>
        </is>
      </c>
      <c r="H196" t="n">
        <v>179.65</v>
      </c>
      <c r="I196" t="inlineStr">
        <is>
          <t>C1</t>
        </is>
      </c>
      <c r="J196" t="n">
        <v>0</v>
      </c>
      <c r="K196" t="inlineStr"/>
      <c r="L196" t="n">
        <v>0.95392</v>
      </c>
      <c r="M196" t="n">
        <v>0.95392</v>
      </c>
      <c r="N196" t="inlineStr">
        <is>
          <t>Yes</t>
        </is>
      </c>
      <c r="O196" t="inlineStr">
        <is>
          <t>equal</t>
        </is>
      </c>
      <c r="P196" t="inlineStr">
        <is>
          <t>deposited</t>
        </is>
      </c>
      <c r="Q196" t="inlineStr"/>
      <c r="R196" t="inlineStr"/>
      <c r="S196">
        <f>HYPERLINK("https://helical-indexing-hi3d.streamlit.app/?emd_id=emd-13220&amp;rise=2.37&amp;twist=179.65&amp;csym=1&amp;rise2=2.37&amp;twist2=179.65&amp;csym2=1", "Link")</f>
        <v/>
      </c>
    </row>
    <row r="197">
      <c r="A197" t="inlineStr">
        <is>
          <t>EMD-27086</t>
        </is>
      </c>
      <c r="B197" t="inlineStr">
        <is>
          <t>amyloid</t>
        </is>
      </c>
      <c r="C197" t="n">
        <v>3.1</v>
      </c>
      <c r="D197" t="n">
        <v>2.4</v>
      </c>
      <c r="E197" t="n">
        <v>179.63</v>
      </c>
      <c r="F197" t="inlineStr">
        <is>
          <t>C1</t>
        </is>
      </c>
      <c r="G197" t="inlineStr">
        <is>
          <t>2.4</t>
        </is>
      </c>
      <c r="H197" t="n">
        <v>179.63</v>
      </c>
      <c r="I197" t="inlineStr">
        <is>
          <t>C1</t>
        </is>
      </c>
      <c r="J197" t="n">
        <v>0</v>
      </c>
      <c r="K197" t="inlineStr"/>
      <c r="L197" t="n">
        <v>0.75787</v>
      </c>
      <c r="M197" t="n">
        <v>0.75787</v>
      </c>
      <c r="N197" t="inlineStr">
        <is>
          <t>Yes</t>
        </is>
      </c>
      <c r="O197" t="inlineStr">
        <is>
          <t>equal</t>
        </is>
      </c>
      <c r="P197" t="inlineStr">
        <is>
          <t>deposited</t>
        </is>
      </c>
      <c r="Q197" t="inlineStr"/>
      <c r="R197" t="inlineStr"/>
      <c r="S197">
        <f>HYPERLINK("https://helical-indexing-hi3d.streamlit.app/?emd_id=emd-27086&amp;rise=2.4&amp;twist=179.63&amp;csym=1&amp;rise2=2.4&amp;twist2=179.63&amp;csym2=1", "Link")</f>
        <v/>
      </c>
    </row>
    <row r="198">
      <c r="A198" t="inlineStr">
        <is>
          <t>EMD-18287</t>
        </is>
      </c>
      <c r="B198" t="inlineStr">
        <is>
          <t>amyloid</t>
        </is>
      </c>
      <c r="C198" t="n">
        <v>3.1</v>
      </c>
      <c r="D198" t="n">
        <v>2.39</v>
      </c>
      <c r="E198" t="n">
        <v>179.262</v>
      </c>
      <c r="F198" t="inlineStr">
        <is>
          <t>C1</t>
        </is>
      </c>
      <c r="G198" t="inlineStr">
        <is>
          <t>2.39</t>
        </is>
      </c>
      <c r="H198" t="n">
        <v>179.262</v>
      </c>
      <c r="I198" t="inlineStr">
        <is>
          <t>C1</t>
        </is>
      </c>
      <c r="J198" t="n">
        <v>0</v>
      </c>
      <c r="K198" t="inlineStr"/>
      <c r="L198" t="n">
        <v>0.96064</v>
      </c>
      <c r="M198" t="n">
        <v>0.96064</v>
      </c>
      <c r="N198" t="inlineStr">
        <is>
          <t>Yes</t>
        </is>
      </c>
      <c r="O198" t="inlineStr">
        <is>
          <t>equal</t>
        </is>
      </c>
      <c r="P198" t="inlineStr">
        <is>
          <t>deposited</t>
        </is>
      </c>
      <c r="Q198" t="inlineStr"/>
      <c r="R198" t="inlineStr"/>
      <c r="S198">
        <f>HYPERLINK("https://helical-indexing-hi3d.streamlit.app/?emd_id=emd-18287&amp;rise=2.39&amp;twist=179.262&amp;csym=1&amp;rise2=2.39&amp;twist2=179.262&amp;csym2=1", "Link")</f>
        <v/>
      </c>
    </row>
    <row r="199">
      <c r="A199" t="inlineStr">
        <is>
          <t>EMD-21871</t>
        </is>
      </c>
      <c r="B199" t="inlineStr">
        <is>
          <t>amyloid</t>
        </is>
      </c>
      <c r="C199" t="n">
        <v>3.1</v>
      </c>
      <c r="D199" t="n">
        <v>4.81</v>
      </c>
      <c r="E199" t="n">
        <v>-2.88</v>
      </c>
      <c r="F199" t="inlineStr">
        <is>
          <t>C1</t>
        </is>
      </c>
      <c r="G199" t="inlineStr">
        <is>
          <t>4.81</t>
        </is>
      </c>
      <c r="H199" t="n">
        <v>-2.88</v>
      </c>
      <c r="I199" t="inlineStr">
        <is>
          <t>C1</t>
        </is>
      </c>
      <c r="J199" t="n">
        <v>0</v>
      </c>
      <c r="K199" t="inlineStr">
        <is>
          <t>z -&gt; x</t>
        </is>
      </c>
      <c r="L199" t="n">
        <v>0.9716900000000001</v>
      </c>
      <c r="M199" t="n">
        <v>0.9716900000000001</v>
      </c>
      <c r="N199" t="inlineStr">
        <is>
          <t>Yes</t>
        </is>
      </c>
      <c r="O199" t="inlineStr">
        <is>
          <t>equal</t>
        </is>
      </c>
      <c r="P199" t="inlineStr">
        <is>
          <t>deposited</t>
        </is>
      </c>
      <c r="Q199" t="inlineStr"/>
      <c r="R199" t="inlineStr"/>
      <c r="S199">
        <f>HYPERLINK("https://helical-indexing-hi3d.streamlit.app/?emd_id=emd-21871&amp;rise=4.81&amp;twist=-2.88&amp;csym=1&amp;rise2=4.81&amp;twist2=-2.88&amp;csym2=1", "Link")</f>
        <v/>
      </c>
    </row>
    <row r="200">
      <c r="A200" t="inlineStr">
        <is>
          <t>EMD-27088</t>
        </is>
      </c>
      <c r="B200" t="inlineStr">
        <is>
          <t>amyloid</t>
        </is>
      </c>
      <c r="C200" t="n">
        <v>3.1</v>
      </c>
      <c r="D200" t="n">
        <v>4.8</v>
      </c>
      <c r="E200" t="n">
        <v>-0.71</v>
      </c>
      <c r="F200" t="inlineStr">
        <is>
          <t>C1</t>
        </is>
      </c>
      <c r="G200" t="inlineStr">
        <is>
          <t>4.8</t>
        </is>
      </c>
      <c r="H200" t="n">
        <v>-0.71</v>
      </c>
      <c r="I200" t="inlineStr">
        <is>
          <t>C1</t>
        </is>
      </c>
      <c r="J200" t="n">
        <v>0</v>
      </c>
      <c r="K200" t="inlineStr"/>
      <c r="L200" t="n">
        <v>0.81265</v>
      </c>
      <c r="M200" t="n">
        <v>0.81265</v>
      </c>
      <c r="N200" t="inlineStr">
        <is>
          <t>Yes</t>
        </is>
      </c>
      <c r="O200" t="inlineStr">
        <is>
          <t>equal</t>
        </is>
      </c>
      <c r="P200" t="inlineStr">
        <is>
          <t>deposited</t>
        </is>
      </c>
      <c r="Q200" t="inlineStr"/>
      <c r="R200" t="inlineStr"/>
      <c r="S200">
        <f>HYPERLINK("https://helical-indexing-hi3d.streamlit.app/?emd_id=emd-27088&amp;rise=4.8&amp;twist=-0.71&amp;csym=1&amp;rise2=4.8&amp;twist2=-0.71&amp;csym2=1", "Link")</f>
        <v/>
      </c>
    </row>
    <row r="201">
      <c r="A201" t="inlineStr">
        <is>
          <t>EMD-25714</t>
        </is>
      </c>
      <c r="B201" t="inlineStr">
        <is>
          <t>amyloid</t>
        </is>
      </c>
      <c r="C201" t="n">
        <v>3.1</v>
      </c>
      <c r="D201" t="n">
        <v>0.483</v>
      </c>
      <c r="E201" t="n">
        <v>35.77</v>
      </c>
      <c r="F201" t="inlineStr">
        <is>
          <t>C1</t>
        </is>
      </c>
      <c r="G201" t="inlineStr">
        <is>
          <t>0.483</t>
        </is>
      </c>
      <c r="H201" t="n">
        <v>35.77</v>
      </c>
      <c r="I201" t="inlineStr">
        <is>
          <t>C1</t>
        </is>
      </c>
      <c r="J201" t="n">
        <v>0</v>
      </c>
      <c r="K201" t="inlineStr"/>
      <c r="L201" t="n">
        <v>0.93828</v>
      </c>
      <c r="M201" t="n">
        <v>0.93828</v>
      </c>
      <c r="N201" t="inlineStr">
        <is>
          <t>Yes</t>
        </is>
      </c>
      <c r="O201" t="inlineStr">
        <is>
          <t>equal</t>
        </is>
      </c>
      <c r="P201" t="inlineStr">
        <is>
          <t>deposited</t>
        </is>
      </c>
      <c r="Q201" t="inlineStr"/>
      <c r="R201" t="inlineStr"/>
      <c r="S201">
        <f>HYPERLINK("https://helical-indexing-hi3d.streamlit.app/?emd_id=emd-25714&amp;rise=0.483&amp;twist=35.77&amp;csym=1&amp;rise2=0.483&amp;twist2=35.77&amp;csym2=1", "Link")</f>
        <v/>
      </c>
    </row>
    <row r="202">
      <c r="A202" t="inlineStr">
        <is>
          <t>EMD-33961</t>
        </is>
      </c>
      <c r="B202" t="inlineStr">
        <is>
          <t>amyloid</t>
        </is>
      </c>
      <c r="C202" t="n">
        <v>3.1</v>
      </c>
      <c r="D202" t="n">
        <v>2.42</v>
      </c>
      <c r="E202" t="n">
        <v>179.64</v>
      </c>
      <c r="F202" t="inlineStr">
        <is>
          <t>C1</t>
        </is>
      </c>
      <c r="G202" t="inlineStr">
        <is>
          <t>2.42</t>
        </is>
      </c>
      <c r="H202" t="n">
        <v>179.64</v>
      </c>
      <c r="I202" t="inlineStr">
        <is>
          <t>C1</t>
        </is>
      </c>
      <c r="J202" t="n">
        <v>0</v>
      </c>
      <c r="K202" t="inlineStr"/>
      <c r="L202" t="n">
        <v>0.94213</v>
      </c>
      <c r="M202" t="n">
        <v>0.94213</v>
      </c>
      <c r="N202" t="inlineStr">
        <is>
          <t>Yes</t>
        </is>
      </c>
      <c r="O202" t="inlineStr">
        <is>
          <t>equal</t>
        </is>
      </c>
      <c r="P202" t="inlineStr">
        <is>
          <t>deposited</t>
        </is>
      </c>
      <c r="Q202" t="inlineStr"/>
      <c r="R202" t="inlineStr"/>
      <c r="S202">
        <f>HYPERLINK("https://helical-indexing-hi3d.streamlit.app/?emd_id=emd-33961&amp;rise=2.42&amp;twist=179.64&amp;csym=1&amp;rise2=2.42&amp;twist2=179.64&amp;csym2=1", "Link")</f>
        <v/>
      </c>
    </row>
    <row r="203">
      <c r="A203" t="inlineStr">
        <is>
          <t>EMD-4994</t>
        </is>
      </c>
      <c r="B203" t="inlineStr">
        <is>
          <t>amyloid</t>
        </is>
      </c>
      <c r="C203" t="n">
        <v>3.1</v>
      </c>
      <c r="D203" t="n">
        <v>4.92</v>
      </c>
      <c r="E203" t="n">
        <v>-0.8</v>
      </c>
      <c r="F203" t="inlineStr">
        <is>
          <t>C1</t>
        </is>
      </c>
      <c r="G203" t="inlineStr">
        <is>
          <t>4.92</t>
        </is>
      </c>
      <c r="H203" t="n">
        <v>-0.8</v>
      </c>
      <c r="I203" t="inlineStr">
        <is>
          <t>C1</t>
        </is>
      </c>
      <c r="J203" t="n">
        <v>0</v>
      </c>
      <c r="K203" t="inlineStr"/>
      <c r="L203" t="n">
        <v>0.77962</v>
      </c>
      <c r="M203" t="n">
        <v>0.77962</v>
      </c>
      <c r="N203" t="inlineStr">
        <is>
          <t>Yes</t>
        </is>
      </c>
      <c r="O203" t="inlineStr">
        <is>
          <t>equal</t>
        </is>
      </c>
      <c r="P203" t="inlineStr">
        <is>
          <t>deposited</t>
        </is>
      </c>
      <c r="Q203" t="inlineStr"/>
      <c r="R203" t="inlineStr"/>
      <c r="S203">
        <f>HYPERLINK("https://helical-indexing-hi3d.streamlit.app/?emd_id=emd-4994&amp;rise=4.92&amp;twist=-0.8&amp;csym=1&amp;rise2=4.92&amp;twist2=-0.8&amp;csym2=1", "Link")</f>
        <v/>
      </c>
    </row>
    <row r="204">
      <c r="A204" t="inlineStr">
        <is>
          <t>EMD-26800</t>
        </is>
      </c>
      <c r="B204" t="inlineStr">
        <is>
          <t>amyloid</t>
        </is>
      </c>
      <c r="C204" t="n">
        <v>3.1</v>
      </c>
      <c r="D204" t="n">
        <v>4.74</v>
      </c>
      <c r="E204" t="n">
        <v>-5.38</v>
      </c>
      <c r="F204" t="inlineStr">
        <is>
          <t>C1</t>
        </is>
      </c>
      <c r="G204" t="inlineStr">
        <is>
          <t>4.74</t>
        </is>
      </c>
      <c r="H204" t="n">
        <v>-5.38</v>
      </c>
      <c r="I204" t="inlineStr">
        <is>
          <t>C1</t>
        </is>
      </c>
      <c r="J204" t="n">
        <v>0</v>
      </c>
      <c r="K204" t="inlineStr"/>
      <c r="L204" t="n">
        <v>0.9133</v>
      </c>
      <c r="M204" t="n">
        <v>0.9133</v>
      </c>
      <c r="N204" t="inlineStr">
        <is>
          <t>Yes</t>
        </is>
      </c>
      <c r="O204" t="inlineStr">
        <is>
          <t>equal</t>
        </is>
      </c>
      <c r="P204" t="inlineStr">
        <is>
          <t>deposited</t>
        </is>
      </c>
      <c r="Q204" t="inlineStr"/>
      <c r="R204" t="inlineStr"/>
      <c r="S204">
        <f>HYPERLINK("https://helical-indexing-hi3d.streamlit.app/?emd_id=emd-26800&amp;rise=4.74&amp;twist=-5.38&amp;csym=1&amp;rise2=4.74&amp;twist2=-5.38&amp;csym2=1", "Link")</f>
        <v/>
      </c>
    </row>
    <row r="205">
      <c r="A205" t="inlineStr">
        <is>
          <t>EMD-31706</t>
        </is>
      </c>
      <c r="B205" t="inlineStr">
        <is>
          <t>amyloid</t>
        </is>
      </c>
      <c r="C205" t="n">
        <v>3.1</v>
      </c>
      <c r="D205" t="n">
        <v>2.42</v>
      </c>
      <c r="E205" t="n">
        <v>179.73</v>
      </c>
      <c r="F205" t="inlineStr">
        <is>
          <t>C1</t>
        </is>
      </c>
      <c r="G205" t="inlineStr">
        <is>
          <t>2.42</t>
        </is>
      </c>
      <c r="H205" t="n">
        <v>179.73</v>
      </c>
      <c r="I205" t="inlineStr">
        <is>
          <t>C1</t>
        </is>
      </c>
      <c r="J205" t="n">
        <v>0</v>
      </c>
      <c r="K205" t="inlineStr"/>
      <c r="L205" t="n">
        <v>0.92418</v>
      </c>
      <c r="M205" t="n">
        <v>0.92418</v>
      </c>
      <c r="N205" t="inlineStr">
        <is>
          <t>Yes</t>
        </is>
      </c>
      <c r="O205" t="inlineStr">
        <is>
          <t>equal</t>
        </is>
      </c>
      <c r="P205" t="inlineStr">
        <is>
          <t>deposited</t>
        </is>
      </c>
      <c r="Q205" t="inlineStr"/>
      <c r="R205" t="inlineStr"/>
      <c r="S205">
        <f>HYPERLINK("https://helical-indexing-hi3d.streamlit.app/?emd_id=emd-31706&amp;rise=2.42&amp;twist=179.73&amp;csym=1&amp;rise2=2.42&amp;twist2=179.73&amp;csym2=1", "Link")</f>
        <v/>
      </c>
    </row>
    <row r="206">
      <c r="A206" t="inlineStr">
        <is>
          <t>EMD-41171</t>
        </is>
      </c>
      <c r="B206" t="inlineStr">
        <is>
          <t>amyloid</t>
        </is>
      </c>
      <c r="C206" t="n">
        <v>3.1</v>
      </c>
      <c r="D206" t="n">
        <v>4.81</v>
      </c>
      <c r="E206" t="n">
        <v>-1.26</v>
      </c>
      <c r="F206" t="inlineStr">
        <is>
          <t>C1</t>
        </is>
      </c>
      <c r="G206" t="inlineStr">
        <is>
          <t>4.88696</t>
        </is>
      </c>
      <c r="H206" t="n">
        <v>-1.24992</v>
      </c>
      <c r="I206" t="inlineStr">
        <is>
          <t>C1</t>
        </is>
      </c>
      <c r="J206" t="n">
        <v>0.076989956</v>
      </c>
      <c r="K206" t="inlineStr">
        <is>
          <t>z -&gt; x</t>
        </is>
      </c>
      <c r="L206" t="n">
        <v>0.73612</v>
      </c>
      <c r="M206" t="n">
        <v>0.7481100000000001</v>
      </c>
      <c r="N206" t="inlineStr">
        <is>
          <t>No</t>
        </is>
      </c>
      <c r="O206" t="inlineStr">
        <is>
          <t>improve</t>
        </is>
      </c>
      <c r="P206" t="inlineStr">
        <is>
          <t>adjusted decimals</t>
        </is>
      </c>
      <c r="Q206" t="inlineStr"/>
      <c r="R206" t="inlineStr"/>
      <c r="S206">
        <f>HYPERLINK("https://helical-indexing-hi3d.streamlit.app/?emd_id=emd-41171&amp;rise=4.88696&amp;twist=-1.24992&amp;csym=1&amp;rise2=4.81&amp;twist2=-1.26&amp;csym2=1", "Link")</f>
        <v/>
      </c>
    </row>
    <row r="207">
      <c r="A207" t="inlineStr">
        <is>
          <t>EMD-12570</t>
        </is>
      </c>
      <c r="B207" t="inlineStr">
        <is>
          <t>amyloid</t>
        </is>
      </c>
      <c r="C207" t="n">
        <v>3.1</v>
      </c>
      <c r="D207" t="n">
        <v>4.76311</v>
      </c>
      <c r="E207" t="n">
        <v>-1.45566</v>
      </c>
      <c r="F207" t="inlineStr">
        <is>
          <t>C1</t>
        </is>
      </c>
      <c r="G207" t="inlineStr">
        <is>
          <t>4.76311</t>
        </is>
      </c>
      <c r="H207" t="n">
        <v>-1.45566</v>
      </c>
      <c r="I207" t="inlineStr">
        <is>
          <t>C1</t>
        </is>
      </c>
      <c r="J207" t="n">
        <v>0</v>
      </c>
      <c r="K207" t="inlineStr">
        <is>
          <t>z -&gt; x</t>
        </is>
      </c>
      <c r="L207" t="n">
        <v>0.77013</v>
      </c>
      <c r="M207" t="n">
        <v>0.77013</v>
      </c>
      <c r="N207" t="inlineStr">
        <is>
          <t>Yes</t>
        </is>
      </c>
      <c r="O207" t="inlineStr">
        <is>
          <t>equal</t>
        </is>
      </c>
      <c r="P207" t="inlineStr">
        <is>
          <t>deposited</t>
        </is>
      </c>
      <c r="Q207" t="inlineStr"/>
      <c r="R207" t="inlineStr"/>
      <c r="S207">
        <f>HYPERLINK("https://helical-indexing-hi3d.streamlit.app/?emd_id=emd-12570&amp;rise=4.76311&amp;twist=-1.45566&amp;csym=1&amp;rise2=4.76311&amp;twist2=-1.45566&amp;csym2=1", "Link")</f>
        <v/>
      </c>
    </row>
    <row r="208">
      <c r="A208" t="inlineStr">
        <is>
          <t>EMD-18275</t>
        </is>
      </c>
      <c r="B208" t="inlineStr">
        <is>
          <t>amyloid</t>
        </is>
      </c>
      <c r="C208" t="n">
        <v>3.1</v>
      </c>
      <c r="D208" t="n">
        <v>2.38</v>
      </c>
      <c r="E208" t="n">
        <v>179.5</v>
      </c>
      <c r="F208" t="inlineStr">
        <is>
          <t>C1</t>
        </is>
      </c>
      <c r="G208" t="inlineStr">
        <is>
          <t>2.38</t>
        </is>
      </c>
      <c r="H208" t="n">
        <v>179.5</v>
      </c>
      <c r="I208" t="inlineStr">
        <is>
          <t>C1</t>
        </is>
      </c>
      <c r="J208" t="n">
        <v>0</v>
      </c>
      <c r="K208" t="inlineStr"/>
      <c r="L208" t="n">
        <v>0.94979</v>
      </c>
      <c r="M208" t="n">
        <v>0.94979</v>
      </c>
      <c r="N208" t="inlineStr">
        <is>
          <t>Yes</t>
        </is>
      </c>
      <c r="O208" t="inlineStr">
        <is>
          <t>equal</t>
        </is>
      </c>
      <c r="P208" t="inlineStr">
        <is>
          <t>deposited</t>
        </is>
      </c>
      <c r="Q208" t="inlineStr"/>
      <c r="R208" t="inlineStr"/>
      <c r="S208">
        <f>HYPERLINK("https://helical-indexing-hi3d.streamlit.app/?emd_id=emd-18275&amp;rise=2.38&amp;twist=179.5&amp;csym=1&amp;rise2=2.38&amp;twist2=179.5&amp;csym2=1", "Link")</f>
        <v/>
      </c>
    </row>
    <row r="209">
      <c r="A209" t="inlineStr">
        <is>
          <t>EMD-41172</t>
        </is>
      </c>
      <c r="B209" t="inlineStr">
        <is>
          <t>amyloid</t>
        </is>
      </c>
      <c r="C209" t="n">
        <v>3.1</v>
      </c>
      <c r="D209" t="n">
        <v>4.8</v>
      </c>
      <c r="E209" t="n">
        <v>-1.42</v>
      </c>
      <c r="F209" t="inlineStr">
        <is>
          <t>C1</t>
        </is>
      </c>
      <c r="G209" t="inlineStr">
        <is>
          <t>4.88696</t>
        </is>
      </c>
      <c r="H209" t="n">
        <v>-1.24992</v>
      </c>
      <c r="I209" t="inlineStr">
        <is>
          <t>C1</t>
        </is>
      </c>
      <c r="J209" t="n">
        <v>0.1067660066937664</v>
      </c>
      <c r="K209" t="inlineStr">
        <is>
          <t>z -&gt; x</t>
        </is>
      </c>
      <c r="L209" t="n">
        <v>0.7357399999999999</v>
      </c>
      <c r="M209" t="n">
        <v>0.74596</v>
      </c>
      <c r="N209" t="inlineStr">
        <is>
          <t>No</t>
        </is>
      </c>
      <c r="O209" t="inlineStr">
        <is>
          <t>improve</t>
        </is>
      </c>
      <c r="P209" t="inlineStr">
        <is>
          <t>adjusted decimals</t>
        </is>
      </c>
      <c r="Q209" t="inlineStr">
        <is>
          <t xml:space="preserve"> check</t>
        </is>
      </c>
      <c r="R209" t="inlineStr"/>
      <c r="S209">
        <f>HYPERLINK("https://helical-indexing-hi3d.streamlit.app/?emd_id=emd-41172&amp;rise=4.88696&amp;twist=-1.24992&amp;csym=1&amp;rise2=4.8&amp;twist2=-1.42&amp;csym2=1", "Link")</f>
        <v/>
      </c>
    </row>
    <row r="210">
      <c r="A210" t="inlineStr">
        <is>
          <t>EMD-33971</t>
        </is>
      </c>
      <c r="B210" t="inlineStr">
        <is>
          <t>amyloid</t>
        </is>
      </c>
      <c r="C210" t="n">
        <v>3.1</v>
      </c>
      <c r="D210" t="n">
        <v>2.41</v>
      </c>
      <c r="E210" t="n">
        <v>179.59</v>
      </c>
      <c r="F210" t="inlineStr">
        <is>
          <t>C1</t>
        </is>
      </c>
      <c r="G210" t="inlineStr">
        <is>
          <t>2.41</t>
        </is>
      </c>
      <c r="H210" t="n">
        <v>179.59</v>
      </c>
      <c r="I210" t="inlineStr">
        <is>
          <t>C1</t>
        </is>
      </c>
      <c r="J210" t="n">
        <v>0</v>
      </c>
      <c r="K210" t="inlineStr"/>
      <c r="L210" t="n">
        <v>0.96034</v>
      </c>
      <c r="M210" t="n">
        <v>0.96034</v>
      </c>
      <c r="N210" t="inlineStr">
        <is>
          <t>Yes</t>
        </is>
      </c>
      <c r="O210" t="inlineStr">
        <is>
          <t>equal</t>
        </is>
      </c>
      <c r="P210" t="inlineStr">
        <is>
          <t>deposited</t>
        </is>
      </c>
      <c r="Q210" t="inlineStr"/>
      <c r="R210" t="inlineStr"/>
      <c r="S210">
        <f>HYPERLINK("https://helical-indexing-hi3d.streamlit.app/?emd_id=emd-33971&amp;rise=2.41&amp;twist=179.59&amp;csym=1&amp;rise2=2.41&amp;twist2=179.59&amp;csym2=1", "Link")</f>
        <v/>
      </c>
    </row>
    <row r="211">
      <c r="A211" t="inlineStr">
        <is>
          <t>EMD-15729</t>
        </is>
      </c>
      <c r="B211" t="inlineStr">
        <is>
          <t>amyloid</t>
        </is>
      </c>
      <c r="C211" t="n">
        <v>3.1</v>
      </c>
      <c r="D211" t="n">
        <v>2.41</v>
      </c>
      <c r="E211" t="n">
        <v>178.93</v>
      </c>
      <c r="F211" t="inlineStr">
        <is>
          <t>C1</t>
        </is>
      </c>
      <c r="G211" t="inlineStr">
        <is>
          <t>2.41</t>
        </is>
      </c>
      <c r="H211" t="n">
        <v>178.93</v>
      </c>
      <c r="I211" t="inlineStr">
        <is>
          <t>C1</t>
        </is>
      </c>
      <c r="J211" t="n">
        <v>0</v>
      </c>
      <c r="K211" t="inlineStr"/>
      <c r="L211" t="n">
        <v>0.9433</v>
      </c>
      <c r="M211" t="n">
        <v>0.9433</v>
      </c>
      <c r="N211" t="inlineStr">
        <is>
          <t>Yes</t>
        </is>
      </c>
      <c r="O211" t="inlineStr">
        <is>
          <t>equal</t>
        </is>
      </c>
      <c r="P211" t="inlineStr">
        <is>
          <t>deposited</t>
        </is>
      </c>
      <c r="Q211" t="inlineStr"/>
      <c r="R211" t="inlineStr"/>
      <c r="S211">
        <f>HYPERLINK("https://helical-indexing-hi3d.streamlit.app/?emd_id=emd-15729&amp;rise=2.41&amp;twist=178.93&amp;csym=1&amp;rise2=2.41&amp;twist2=178.93&amp;csym2=1", "Link")</f>
        <v/>
      </c>
    </row>
    <row r="212">
      <c r="A212" t="inlineStr">
        <is>
          <t>EMD-26613</t>
        </is>
      </c>
      <c r="B212" t="inlineStr">
        <is>
          <t>amyloid</t>
        </is>
      </c>
      <c r="C212" t="n">
        <v>3.13</v>
      </c>
      <c r="D212" t="n">
        <v>4.83</v>
      </c>
      <c r="E212" t="n">
        <v>-0.9399999999999999</v>
      </c>
      <c r="F212" t="inlineStr">
        <is>
          <t>C1</t>
        </is>
      </c>
      <c r="G212" t="inlineStr">
        <is>
          <t>4.83</t>
        </is>
      </c>
      <c r="H212" t="n">
        <v>-0.9399999999999999</v>
      </c>
      <c r="I212" t="inlineStr">
        <is>
          <t>C1</t>
        </is>
      </c>
      <c r="J212" t="n">
        <v>0</v>
      </c>
      <c r="K212" t="inlineStr"/>
      <c r="L212" t="n">
        <v>0.96439</v>
      </c>
      <c r="M212" t="n">
        <v>0.96439</v>
      </c>
      <c r="N212" t="inlineStr">
        <is>
          <t>Yes</t>
        </is>
      </c>
      <c r="O212" t="inlineStr">
        <is>
          <t>equal</t>
        </is>
      </c>
      <c r="P212" t="inlineStr">
        <is>
          <t>deposited</t>
        </is>
      </c>
      <c r="Q212" t="inlineStr"/>
      <c r="R212" t="inlineStr"/>
      <c r="S212">
        <f>HYPERLINK("https://helical-indexing-hi3d.streamlit.app/?emd_id=emd-26613&amp;rise=4.83&amp;twist=-0.94&amp;csym=1&amp;rise2=4.83&amp;twist2=-0.94&amp;csym2=1", "Link")</f>
        <v/>
      </c>
    </row>
    <row r="213">
      <c r="A213" t="inlineStr">
        <is>
          <t>EMD-14059</t>
        </is>
      </c>
      <c r="B213" t="inlineStr">
        <is>
          <t>amyloid</t>
        </is>
      </c>
      <c r="C213" t="n">
        <v>3.13</v>
      </c>
      <c r="D213" t="n">
        <v>4.75</v>
      </c>
      <c r="E213" t="n">
        <v>-1.33</v>
      </c>
      <c r="F213" t="inlineStr">
        <is>
          <t>C1</t>
        </is>
      </c>
      <c r="G213" t="inlineStr">
        <is>
          <t>4.75</t>
        </is>
      </c>
      <c r="H213" t="n">
        <v>-1.33</v>
      </c>
      <c r="I213" t="inlineStr">
        <is>
          <t>C1</t>
        </is>
      </c>
      <c r="J213" t="n">
        <v>0</v>
      </c>
      <c r="K213" t="inlineStr"/>
      <c r="L213" t="n">
        <v>0.96606</v>
      </c>
      <c r="M213" t="n">
        <v>0.96606</v>
      </c>
      <c r="N213" t="inlineStr">
        <is>
          <t>Yes</t>
        </is>
      </c>
      <c r="O213" t="inlineStr">
        <is>
          <t>equal</t>
        </is>
      </c>
      <c r="P213" t="inlineStr">
        <is>
          <t>deposited</t>
        </is>
      </c>
      <c r="Q213" t="inlineStr"/>
      <c r="R213" t="inlineStr"/>
      <c r="S213">
        <f>HYPERLINK("https://helical-indexing-hi3d.streamlit.app/?emd_id=emd-14059&amp;rise=4.75&amp;twist=-1.33&amp;csym=1&amp;rise2=4.75&amp;twist2=-1.33&amp;csym2=1", "Link")</f>
        <v/>
      </c>
    </row>
    <row r="214">
      <c r="A214" t="inlineStr">
        <is>
          <t>EMD-14043</t>
        </is>
      </c>
      <c r="B214" t="inlineStr">
        <is>
          <t>amyloid</t>
        </is>
      </c>
      <c r="C214" t="n">
        <v>3.13</v>
      </c>
      <c r="D214" t="n">
        <v>2.38</v>
      </c>
      <c r="E214" t="n">
        <v>179.59</v>
      </c>
      <c r="F214" t="inlineStr">
        <is>
          <t>C1</t>
        </is>
      </c>
      <c r="G214" t="inlineStr">
        <is>
          <t>2.38</t>
        </is>
      </c>
      <c r="H214" t="n">
        <v>179.59</v>
      </c>
      <c r="I214" t="inlineStr">
        <is>
          <t>C1</t>
        </is>
      </c>
      <c r="J214" t="n">
        <v>0</v>
      </c>
      <c r="K214" t="inlineStr"/>
      <c r="L214" t="n">
        <v>0.9588</v>
      </c>
      <c r="M214" t="n">
        <v>0.9588</v>
      </c>
      <c r="N214" t="inlineStr">
        <is>
          <t>Yes</t>
        </is>
      </c>
      <c r="O214" t="inlineStr">
        <is>
          <t>equal</t>
        </is>
      </c>
      <c r="P214" t="inlineStr">
        <is>
          <t>deposited</t>
        </is>
      </c>
      <c r="Q214" t="inlineStr"/>
      <c r="R214" t="inlineStr"/>
      <c r="S214">
        <f>HYPERLINK("https://helical-indexing-hi3d.streamlit.app/?emd_id=emd-14043&amp;rise=2.38&amp;twist=179.59&amp;csym=1&amp;rise2=2.38&amp;twist2=179.59&amp;csym2=1", "Link")</f>
        <v/>
      </c>
    </row>
    <row r="215">
      <c r="A215" t="inlineStr">
        <is>
          <t>EMD-14026</t>
        </is>
      </c>
      <c r="B215" t="inlineStr">
        <is>
          <t>amyloid</t>
        </is>
      </c>
      <c r="C215" t="n">
        <v>3.14</v>
      </c>
      <c r="D215" t="n">
        <v>4.74</v>
      </c>
      <c r="E215" t="n">
        <v>-1.26</v>
      </c>
      <c r="F215" t="inlineStr">
        <is>
          <t>C2</t>
        </is>
      </c>
      <c r="G215" t="inlineStr">
        <is>
          <t>4.74</t>
        </is>
      </c>
      <c r="H215" t="n">
        <v>-1.26</v>
      </c>
      <c r="I215" t="inlineStr">
        <is>
          <t>C2</t>
        </is>
      </c>
      <c r="J215" t="n">
        <v>0</v>
      </c>
      <c r="K215" t="inlineStr"/>
      <c r="L215" t="n">
        <v>0.9045800000000001</v>
      </c>
      <c r="M215" t="n">
        <v>0.9045800000000001</v>
      </c>
      <c r="N215" t="inlineStr">
        <is>
          <t>Yes</t>
        </is>
      </c>
      <c r="O215" t="inlineStr">
        <is>
          <t>equal</t>
        </is>
      </c>
      <c r="P215" t="inlineStr">
        <is>
          <t>deposited</t>
        </is>
      </c>
      <c r="Q215" t="inlineStr"/>
      <c r="R215" t="inlineStr"/>
      <c r="S215">
        <f>HYPERLINK("https://helical-indexing-hi3d.streamlit.app/?emd_id=emd-14026&amp;rise=4.74&amp;twist=-1.26&amp;csym=2&amp;rise2=4.74&amp;twist2=-1.26&amp;csym2=2", "Link")</f>
        <v/>
      </c>
    </row>
    <row r="216">
      <c r="A216" t="inlineStr">
        <is>
          <t>EMD-18266</t>
        </is>
      </c>
      <c r="B216" t="inlineStr">
        <is>
          <t>amyloid</t>
        </is>
      </c>
      <c r="C216" t="n">
        <v>3.16</v>
      </c>
      <c r="D216" t="n">
        <v>4.76</v>
      </c>
      <c r="E216" t="n">
        <v>-1.05</v>
      </c>
      <c r="F216" t="inlineStr">
        <is>
          <t>C1</t>
        </is>
      </c>
      <c r="G216" t="inlineStr">
        <is>
          <t>4.76</t>
        </is>
      </c>
      <c r="H216" t="n">
        <v>-1.05</v>
      </c>
      <c r="I216" t="inlineStr">
        <is>
          <t>C1</t>
        </is>
      </c>
      <c r="J216" t="n">
        <v>0</v>
      </c>
      <c r="K216" t="inlineStr"/>
      <c r="L216" t="n">
        <v>0.9616400000000001</v>
      </c>
      <c r="M216" t="n">
        <v>0.9616400000000001</v>
      </c>
      <c r="N216" t="inlineStr">
        <is>
          <t>Yes</t>
        </is>
      </c>
      <c r="O216" t="inlineStr">
        <is>
          <t>equal</t>
        </is>
      </c>
      <c r="P216" t="inlineStr">
        <is>
          <t>deposited</t>
        </is>
      </c>
      <c r="Q216" t="inlineStr"/>
      <c r="R216" t="inlineStr"/>
      <c r="S216">
        <f>HYPERLINK("https://helical-indexing-hi3d.streamlit.app/?emd_id=emd-18266&amp;rise=4.76&amp;twist=-1.05&amp;csym=1&amp;rise2=4.76&amp;twist2=-1.05&amp;csym2=1", "Link")</f>
        <v/>
      </c>
    </row>
    <row r="217">
      <c r="A217" t="inlineStr">
        <is>
          <t>EMD-18277</t>
        </is>
      </c>
      <c r="B217" t="inlineStr">
        <is>
          <t>amyloid</t>
        </is>
      </c>
      <c r="C217" t="n">
        <v>3.16</v>
      </c>
      <c r="D217" t="n">
        <v>4.76</v>
      </c>
      <c r="E217" t="n">
        <v>-1.25</v>
      </c>
      <c r="F217" t="inlineStr">
        <is>
          <t>C1</t>
        </is>
      </c>
      <c r="G217" t="inlineStr">
        <is>
          <t>4.76</t>
        </is>
      </c>
      <c r="H217" t="n">
        <v>-1.25</v>
      </c>
      <c r="I217" t="inlineStr">
        <is>
          <t>C1</t>
        </is>
      </c>
      <c r="J217" t="n">
        <v>0</v>
      </c>
      <c r="K217" t="inlineStr"/>
      <c r="L217" t="n">
        <v>0.96066</v>
      </c>
      <c r="M217" t="n">
        <v>0.96066</v>
      </c>
      <c r="N217" t="inlineStr">
        <is>
          <t>Yes</t>
        </is>
      </c>
      <c r="O217" t="inlineStr">
        <is>
          <t>equal</t>
        </is>
      </c>
      <c r="P217" t="inlineStr">
        <is>
          <t>deposited</t>
        </is>
      </c>
      <c r="Q217" t="inlineStr"/>
      <c r="R217" t="inlineStr"/>
      <c r="S217">
        <f>HYPERLINK("https://helical-indexing-hi3d.streamlit.app/?emd_id=emd-18277&amp;rise=4.76&amp;twist=-1.25&amp;csym=1&amp;rise2=4.76&amp;twist2=-1.25&amp;csym2=1", "Link")</f>
        <v/>
      </c>
    </row>
    <row r="218">
      <c r="A218" t="inlineStr">
        <is>
          <t>EMD-14056</t>
        </is>
      </c>
      <c r="B218" t="inlineStr">
        <is>
          <t>amyloid</t>
        </is>
      </c>
      <c r="C218" t="n">
        <v>3.16</v>
      </c>
      <c r="D218" t="n">
        <v>2.37</v>
      </c>
      <c r="E218" t="n">
        <v>179.426</v>
      </c>
      <c r="F218" t="inlineStr">
        <is>
          <t>C1</t>
        </is>
      </c>
      <c r="G218" t="inlineStr">
        <is>
          <t>2.37</t>
        </is>
      </c>
      <c r="H218" t="n">
        <v>179.426</v>
      </c>
      <c r="I218" t="inlineStr">
        <is>
          <t>C1</t>
        </is>
      </c>
      <c r="J218" t="n">
        <v>0</v>
      </c>
      <c r="K218" t="inlineStr"/>
      <c r="L218" t="n">
        <v>0.95683</v>
      </c>
      <c r="M218" t="n">
        <v>0.95683</v>
      </c>
      <c r="N218" t="inlineStr">
        <is>
          <t>Yes</t>
        </is>
      </c>
      <c r="O218" t="inlineStr">
        <is>
          <t>equal</t>
        </is>
      </c>
      <c r="P218" t="inlineStr">
        <is>
          <t>deposited</t>
        </is>
      </c>
      <c r="Q218" t="inlineStr"/>
      <c r="R218" t="inlineStr"/>
      <c r="S218">
        <f>HYPERLINK("https://helical-indexing-hi3d.streamlit.app/?emd_id=emd-14056&amp;rise=2.37&amp;twist=179.426&amp;csym=1&amp;rise2=2.37&amp;twist2=179.426&amp;csym2=1", "Link")</f>
        <v/>
      </c>
    </row>
    <row r="219">
      <c r="A219" t="inlineStr">
        <is>
          <t>EMD-16035</t>
        </is>
      </c>
      <c r="B219" t="inlineStr">
        <is>
          <t>amyloid</t>
        </is>
      </c>
      <c r="C219" t="n">
        <v>3.16</v>
      </c>
      <c r="D219" t="n">
        <v>2.354</v>
      </c>
      <c r="E219" t="n">
        <v>174.439</v>
      </c>
      <c r="F219" t="inlineStr">
        <is>
          <t>C1</t>
        </is>
      </c>
      <c r="G219" t="inlineStr">
        <is>
          <t>2.37</t>
        </is>
      </c>
      <c r="H219" t="n">
        <v>179.45</v>
      </c>
      <c r="I219" t="inlineStr">
        <is>
          <t>C1</t>
        </is>
      </c>
      <c r="J219" t="n">
        <v>1.965104712668019</v>
      </c>
      <c r="K219" t="inlineStr"/>
      <c r="L219" t="n">
        <v>0.08949</v>
      </c>
      <c r="M219" t="n">
        <v>0.86303</v>
      </c>
      <c r="N219" t="inlineStr">
        <is>
          <t>Yes</t>
        </is>
      </c>
      <c r="O219" t="inlineStr">
        <is>
          <t>improve</t>
        </is>
      </c>
      <c r="P219" t="inlineStr">
        <is>
          <t>adjusted decimals</t>
        </is>
      </c>
      <c r="Q219" t="inlineStr"/>
      <c r="R219" t="inlineStr"/>
      <c r="S219">
        <f>HYPERLINK("https://helical-indexing-hi3d.streamlit.app/?emd_id=emd-16035&amp;rise=2.37&amp;twist=179.45&amp;csym=1&amp;rise2=2.354&amp;twist2=174.439&amp;csym2=1", "Link")</f>
        <v/>
      </c>
    </row>
    <row r="220">
      <c r="A220" t="inlineStr">
        <is>
          <t>EMD-14042</t>
        </is>
      </c>
      <c r="B220" t="inlineStr">
        <is>
          <t>amyloid</t>
        </is>
      </c>
      <c r="C220" t="n">
        <v>3.17</v>
      </c>
      <c r="D220" t="n">
        <v>4.77</v>
      </c>
      <c r="E220" t="n">
        <v>-0.8070000000000001</v>
      </c>
      <c r="F220" t="inlineStr">
        <is>
          <t>C1</t>
        </is>
      </c>
      <c r="G220" t="inlineStr">
        <is>
          <t>4.77</t>
        </is>
      </c>
      <c r="H220" t="n">
        <v>-0.8070000000000001</v>
      </c>
      <c r="I220" t="inlineStr">
        <is>
          <t>C1</t>
        </is>
      </c>
      <c r="J220" t="n">
        <v>0</v>
      </c>
      <c r="K220" t="inlineStr"/>
      <c r="L220" t="n">
        <v>0.9248</v>
      </c>
      <c r="M220" t="n">
        <v>0.9248</v>
      </c>
      <c r="N220" t="inlineStr">
        <is>
          <t>Yes</t>
        </is>
      </c>
      <c r="O220" t="inlineStr">
        <is>
          <t>equal</t>
        </is>
      </c>
      <c r="P220" t="inlineStr">
        <is>
          <t>deposited</t>
        </is>
      </c>
      <c r="Q220" t="inlineStr"/>
      <c r="R220" t="inlineStr"/>
      <c r="S220">
        <f>HYPERLINK("https://helical-indexing-hi3d.streamlit.app/?emd_id=emd-14042&amp;rise=4.77&amp;twist=-0.807&amp;csym=1&amp;rise2=4.77&amp;twist2=-0.807&amp;csym2=1", "Link")</f>
        <v/>
      </c>
    </row>
    <row r="221">
      <c r="A221" t="inlineStr">
        <is>
          <t>EMD-12269</t>
        </is>
      </c>
      <c r="B221" t="inlineStr">
        <is>
          <t>amyloid</t>
        </is>
      </c>
      <c r="C221" t="n">
        <v>3.18</v>
      </c>
      <c r="D221" t="n">
        <v>4.75</v>
      </c>
      <c r="E221" t="n">
        <v>-0.95</v>
      </c>
      <c r="F221" t="inlineStr">
        <is>
          <t>C1</t>
        </is>
      </c>
      <c r="G221" t="inlineStr">
        <is>
          <t>4.75</t>
        </is>
      </c>
      <c r="H221" t="n">
        <v>-0.95</v>
      </c>
      <c r="I221" t="inlineStr">
        <is>
          <t>C1</t>
        </is>
      </c>
      <c r="J221" t="n">
        <v>0</v>
      </c>
      <c r="K221" t="inlineStr"/>
      <c r="L221" t="n">
        <v>0.93449</v>
      </c>
      <c r="M221" t="n">
        <v>0.93449</v>
      </c>
      <c r="N221" t="inlineStr">
        <is>
          <t>Yes</t>
        </is>
      </c>
      <c r="O221" t="inlineStr">
        <is>
          <t>equal</t>
        </is>
      </c>
      <c r="P221" t="inlineStr">
        <is>
          <t>deposited</t>
        </is>
      </c>
      <c r="Q221" t="inlineStr"/>
      <c r="R221" t="inlineStr"/>
      <c r="S221">
        <f>HYPERLINK("https://helical-indexing-hi3d.streamlit.app/?emd_id=emd-12269&amp;rise=4.75&amp;twist=-0.95&amp;csym=1&amp;rise2=4.75&amp;twist2=-0.95&amp;csym2=1", "Link")</f>
        <v/>
      </c>
    </row>
    <row r="222">
      <c r="A222" t="inlineStr">
        <is>
          <t>EMD-33901</t>
        </is>
      </c>
      <c r="B222" t="inlineStr">
        <is>
          <t>amyloid</t>
        </is>
      </c>
      <c r="C222" t="n">
        <v>3.2</v>
      </c>
      <c r="D222" t="n">
        <v>179.3</v>
      </c>
      <c r="E222" t="n">
        <v>2.35</v>
      </c>
      <c r="F222" t="inlineStr">
        <is>
          <t>C1</t>
        </is>
      </c>
      <c r="G222" t="inlineStr">
        <is>
          <t>2.35</t>
        </is>
      </c>
      <c r="H222" t="n">
        <v>179.3</v>
      </c>
      <c r="I222" t="inlineStr">
        <is>
          <t>C1</t>
        </is>
      </c>
      <c r="J222" t="n">
        <v>184.4975955210551</v>
      </c>
      <c r="K222" t="inlineStr">
        <is>
          <t> </t>
        </is>
      </c>
      <c r="L222" t="n">
        <v>1</v>
      </c>
      <c r="M222" t="n">
        <v>0.75815</v>
      </c>
      <c r="N222" t="inlineStr">
        <is>
          <t>Excluded</t>
        </is>
      </c>
      <c r="O222" t="inlineStr"/>
      <c r="P222" t="inlineStr"/>
      <c r="Q222" t="inlineStr"/>
      <c r="R222" t="inlineStr"/>
      <c r="S222">
        <f>HYPERLINK("https://helical-indexing-hi3d.streamlit.app/?emd_id=emd-33901&amp;rise=2.35&amp;twist=179.3&amp;csym=1&amp;rise2=179.3&amp;twist2=2.35&amp;csym2=1", "Link")</f>
        <v/>
      </c>
    </row>
    <row r="223">
      <c r="A223" t="inlineStr">
        <is>
          <t>EMD-14063</t>
        </is>
      </c>
      <c r="B223" t="inlineStr">
        <is>
          <t>amyloid</t>
        </is>
      </c>
      <c r="C223" t="n">
        <v>3.2</v>
      </c>
      <c r="D223" t="n">
        <v>2.358</v>
      </c>
      <c r="E223" t="n">
        <v>179.47</v>
      </c>
      <c r="F223" t="inlineStr">
        <is>
          <t>C1</t>
        </is>
      </c>
      <c r="G223" t="inlineStr">
        <is>
          <t>2.358</t>
        </is>
      </c>
      <c r="H223" t="n">
        <v>179.47</v>
      </c>
      <c r="I223" t="inlineStr">
        <is>
          <t>C1</t>
        </is>
      </c>
      <c r="J223" t="n">
        <v>0</v>
      </c>
      <c r="K223" t="inlineStr"/>
      <c r="L223" t="n">
        <v>0.89395</v>
      </c>
      <c r="M223" t="n">
        <v>0.89395</v>
      </c>
      <c r="N223" t="inlineStr">
        <is>
          <t>Yes</t>
        </is>
      </c>
      <c r="O223" t="inlineStr">
        <is>
          <t>equal</t>
        </is>
      </c>
      <c r="P223" t="inlineStr">
        <is>
          <t>deposited</t>
        </is>
      </c>
      <c r="Q223" t="inlineStr"/>
      <c r="R223" t="inlineStr"/>
      <c r="S223">
        <f>HYPERLINK("https://helical-indexing-hi3d.streamlit.app/?emd_id=emd-14063&amp;rise=2.358&amp;twist=179.47&amp;csym=1&amp;rise2=2.358&amp;twist2=179.47&amp;csym2=1", "Link")</f>
        <v/>
      </c>
    </row>
    <row r="224">
      <c r="A224" t="inlineStr">
        <is>
          <t>EMD-33902</t>
        </is>
      </c>
      <c r="B224" t="inlineStr">
        <is>
          <t>amyloid</t>
        </is>
      </c>
      <c r="C224" t="n">
        <v>3.2</v>
      </c>
      <c r="D224" t="n">
        <v>2.35</v>
      </c>
      <c r="E224" t="n">
        <v>179.28</v>
      </c>
      <c r="F224" t="inlineStr">
        <is>
          <t>C1</t>
        </is>
      </c>
      <c r="G224" t="inlineStr">
        <is>
          <t>2.35</t>
        </is>
      </c>
      <c r="H224" t="n">
        <v>179.28</v>
      </c>
      <c r="I224" t="inlineStr">
        <is>
          <t>C1</t>
        </is>
      </c>
      <c r="J224" t="n">
        <v>0</v>
      </c>
      <c r="K224" t="inlineStr"/>
      <c r="L224" t="n">
        <v>0.75745</v>
      </c>
      <c r="M224" t="n">
        <v>0.75745</v>
      </c>
      <c r="N224" t="inlineStr">
        <is>
          <t>Yes</t>
        </is>
      </c>
      <c r="O224" t="inlineStr">
        <is>
          <t>equal</t>
        </is>
      </c>
      <c r="P224" t="inlineStr">
        <is>
          <t>deposited</t>
        </is>
      </c>
      <c r="Q224" t="inlineStr"/>
      <c r="R224" t="inlineStr"/>
      <c r="S224">
        <f>HYPERLINK("https://helical-indexing-hi3d.streamlit.app/?emd_id=emd-33902&amp;rise=2.35&amp;twist=179.28&amp;csym=1&amp;rise2=2.35&amp;twist2=179.28&amp;csym2=1", "Link")</f>
        <v/>
      </c>
    </row>
    <row r="225">
      <c r="A225" t="inlineStr">
        <is>
          <t>EMD-16019</t>
        </is>
      </c>
      <c r="B225" t="inlineStr">
        <is>
          <t>amyloid</t>
        </is>
      </c>
      <c r="C225" t="n">
        <v>3.2</v>
      </c>
      <c r="D225" t="n">
        <v>2.414</v>
      </c>
      <c r="E225" t="n">
        <v>179.355</v>
      </c>
      <c r="F225" t="inlineStr">
        <is>
          <t>C1</t>
        </is>
      </c>
      <c r="G225" t="inlineStr">
        <is>
          <t>2.414</t>
        </is>
      </c>
      <c r="H225" t="n">
        <v>179.355</v>
      </c>
      <c r="I225" t="inlineStr">
        <is>
          <t>C1</t>
        </is>
      </c>
      <c r="J225" t="n">
        <v>0</v>
      </c>
      <c r="K225" t="inlineStr"/>
      <c r="L225" t="n">
        <v>0.95253</v>
      </c>
      <c r="M225" t="n">
        <v>0.95253</v>
      </c>
      <c r="N225" t="inlineStr">
        <is>
          <t>Yes</t>
        </is>
      </c>
      <c r="O225" t="inlineStr">
        <is>
          <t>equal</t>
        </is>
      </c>
      <c r="P225" t="inlineStr">
        <is>
          <t>deposited</t>
        </is>
      </c>
      <c r="Q225" t="inlineStr"/>
      <c r="R225" t="inlineStr"/>
      <c r="S225">
        <f>HYPERLINK("https://helical-indexing-hi3d.streamlit.app/?emd_id=emd-16019&amp;rise=2.414&amp;twist=179.355&amp;csym=1&amp;rise2=2.414&amp;twist2=179.355&amp;csym2=1", "Link")</f>
        <v/>
      </c>
    </row>
    <row r="226">
      <c r="A226" t="inlineStr">
        <is>
          <t>EMD-11031</t>
        </is>
      </c>
      <c r="B226" t="inlineStr">
        <is>
          <t>amyloid</t>
        </is>
      </c>
      <c r="C226" t="n">
        <v>3.2</v>
      </c>
      <c r="D226" t="n">
        <v>4.8</v>
      </c>
      <c r="E226" t="n">
        <v>-1.1</v>
      </c>
      <c r="F226" t="inlineStr">
        <is>
          <t>C1</t>
        </is>
      </c>
      <c r="G226" t="inlineStr">
        <is>
          <t>4.8</t>
        </is>
      </c>
      <c r="H226" t="n">
        <v>-1.1087999</v>
      </c>
      <c r="I226" t="inlineStr">
        <is>
          <t>C1</t>
        </is>
      </c>
      <c r="J226" t="n">
        <v>0.002916952</v>
      </c>
      <c r="K226" t="inlineStr">
        <is>
          <t>z -&gt; x</t>
        </is>
      </c>
      <c r="L226" t="n">
        <v>0.70724</v>
      </c>
      <c r="M226" t="n">
        <v>0.70724</v>
      </c>
      <c r="N226" t="inlineStr">
        <is>
          <t>No</t>
        </is>
      </c>
      <c r="O226" t="inlineStr">
        <is>
          <t>equal</t>
        </is>
      </c>
      <c r="P226" t="inlineStr">
        <is>
          <t>adjusted decimals</t>
        </is>
      </c>
      <c r="Q226" t="inlineStr"/>
      <c r="R226" t="inlineStr"/>
      <c r="S226">
        <f>HYPERLINK("https://helical-indexing-hi3d.streamlit.app/?emd_id=emd-11031&amp;rise=4.8&amp;twist=-1.1087999&amp;csym=1&amp;rise2=4.8&amp;twist2=-1.1&amp;csym2=1", "Link")</f>
        <v/>
      </c>
    </row>
    <row r="227">
      <c r="A227" t="inlineStr">
        <is>
          <t>EMD-23059</t>
        </is>
      </c>
      <c r="B227" t="inlineStr">
        <is>
          <t>amyloid</t>
        </is>
      </c>
      <c r="C227" t="n">
        <v>3.2</v>
      </c>
      <c r="D227" t="n">
        <v>4.73</v>
      </c>
      <c r="E227" t="n">
        <v>-1.66</v>
      </c>
      <c r="F227" t="inlineStr">
        <is>
          <t>C1</t>
        </is>
      </c>
      <c r="G227" t="inlineStr">
        <is>
          <t>4.73</t>
        </is>
      </c>
      <c r="H227" t="n">
        <v>-1.66</v>
      </c>
      <c r="I227" t="inlineStr">
        <is>
          <t>C1</t>
        </is>
      </c>
      <c r="J227" t="n">
        <v>0</v>
      </c>
      <c r="K227" t="inlineStr"/>
      <c r="L227" t="n">
        <v>0.84462</v>
      </c>
      <c r="M227" t="n">
        <v>0.84462</v>
      </c>
      <c r="N227" t="inlineStr">
        <is>
          <t>Yes</t>
        </is>
      </c>
      <c r="O227" t="inlineStr">
        <is>
          <t>equal</t>
        </is>
      </c>
      <c r="P227" t="inlineStr">
        <is>
          <t>deposited</t>
        </is>
      </c>
      <c r="Q227" t="inlineStr"/>
      <c r="R227" t="inlineStr"/>
      <c r="S227">
        <f>HYPERLINK("https://helical-indexing-hi3d.streamlit.app/?emd_id=emd-23059&amp;rise=4.73&amp;twist=-1.66&amp;csym=1&amp;rise2=4.73&amp;twist2=-1.66&amp;csym2=1", "Link")</f>
        <v/>
      </c>
    </row>
    <row r="228">
      <c r="A228" t="inlineStr">
        <is>
          <t>EMD-35088</t>
        </is>
      </c>
      <c r="B228" t="inlineStr">
        <is>
          <t>amyloid</t>
        </is>
      </c>
      <c r="C228" t="n">
        <v>3.2</v>
      </c>
      <c r="D228" t="n">
        <v>2.4</v>
      </c>
      <c r="E228" t="n">
        <v>179.44</v>
      </c>
      <c r="F228" t="inlineStr">
        <is>
          <t>C1</t>
        </is>
      </c>
      <c r="G228" t="inlineStr">
        <is>
          <t>2.4</t>
        </is>
      </c>
      <c r="H228" t="n">
        <v>179.44</v>
      </c>
      <c r="I228" t="inlineStr">
        <is>
          <t>C1</t>
        </is>
      </c>
      <c r="J228" t="n">
        <v>0</v>
      </c>
      <c r="K228" t="inlineStr"/>
      <c r="L228" t="n">
        <v>0.94348</v>
      </c>
      <c r="M228" t="n">
        <v>0.94348</v>
      </c>
      <c r="N228" t="inlineStr">
        <is>
          <t>Yes</t>
        </is>
      </c>
      <c r="O228" t="inlineStr">
        <is>
          <t>equal</t>
        </is>
      </c>
      <c r="P228" t="inlineStr">
        <is>
          <t>deposited</t>
        </is>
      </c>
      <c r="Q228" t="inlineStr"/>
      <c r="R228" t="inlineStr"/>
      <c r="S228">
        <f>HYPERLINK("https://helical-indexing-hi3d.streamlit.app/?emd_id=emd-35088&amp;rise=2.4&amp;twist=179.44&amp;csym=1&amp;rise2=2.4&amp;twist2=179.44&amp;csym2=1", "Link")</f>
        <v/>
      </c>
    </row>
    <row r="229">
      <c r="A229" t="inlineStr">
        <is>
          <t>EMD-35087</t>
        </is>
      </c>
      <c r="B229" t="inlineStr">
        <is>
          <t>amyloid</t>
        </is>
      </c>
      <c r="C229" t="n">
        <v>3.2</v>
      </c>
      <c r="D229" t="n">
        <v>2.41</v>
      </c>
      <c r="E229" t="n">
        <v>179.58</v>
      </c>
      <c r="F229" t="inlineStr">
        <is>
          <t>C1</t>
        </is>
      </c>
      <c r="G229" t="inlineStr">
        <is>
          <t>2.41</t>
        </is>
      </c>
      <c r="H229" t="n">
        <v>179.58</v>
      </c>
      <c r="I229" t="inlineStr">
        <is>
          <t>C1</t>
        </is>
      </c>
      <c r="J229" t="n">
        <v>0</v>
      </c>
      <c r="K229" t="inlineStr"/>
      <c r="L229" t="n">
        <v>0.95314</v>
      </c>
      <c r="M229" t="n">
        <v>0.95314</v>
      </c>
      <c r="N229" t="inlineStr">
        <is>
          <t>Yes</t>
        </is>
      </c>
      <c r="O229" t="inlineStr">
        <is>
          <t>equal</t>
        </is>
      </c>
      <c r="P229" t="inlineStr">
        <is>
          <t>deposited</t>
        </is>
      </c>
      <c r="Q229" t="inlineStr"/>
      <c r="R229" t="inlineStr"/>
      <c r="S229">
        <f>HYPERLINK("https://helical-indexing-hi3d.streamlit.app/?emd_id=emd-35087&amp;rise=2.41&amp;twist=179.58&amp;csym=1&amp;rise2=2.41&amp;twist2=179.58&amp;csym2=1", "Link")</f>
        <v/>
      </c>
    </row>
    <row r="230">
      <c r="A230" t="inlineStr">
        <is>
          <t>EMD-31705</t>
        </is>
      </c>
      <c r="B230" t="inlineStr">
        <is>
          <t>amyloid</t>
        </is>
      </c>
      <c r="C230" t="n">
        <v>3.2</v>
      </c>
      <c r="D230" t="n">
        <v>4.83</v>
      </c>
      <c r="E230" t="n">
        <v>-1.35</v>
      </c>
      <c r="F230" t="inlineStr">
        <is>
          <t>C1</t>
        </is>
      </c>
      <c r="G230" t="inlineStr">
        <is>
          <t>4.83</t>
        </is>
      </c>
      <c r="H230" t="n">
        <v>-1.35</v>
      </c>
      <c r="I230" t="inlineStr">
        <is>
          <t>C1</t>
        </is>
      </c>
      <c r="J230" t="n">
        <v>0</v>
      </c>
      <c r="K230" t="inlineStr"/>
      <c r="L230" t="n">
        <v>0.94604</v>
      </c>
      <c r="M230" t="n">
        <v>0.94604</v>
      </c>
      <c r="N230" t="inlineStr">
        <is>
          <t>Yes</t>
        </is>
      </c>
      <c r="O230" t="inlineStr">
        <is>
          <t>equal</t>
        </is>
      </c>
      <c r="P230" t="inlineStr">
        <is>
          <t>deposited</t>
        </is>
      </c>
      <c r="Q230" t="inlineStr"/>
      <c r="R230" t="inlineStr"/>
      <c r="S230">
        <f>HYPERLINK("https://helical-indexing-hi3d.streamlit.app/?emd_id=emd-31705&amp;rise=4.83&amp;twist=-1.35&amp;csym=1&amp;rise2=4.83&amp;twist2=-1.35&amp;csym2=1", "Link")</f>
        <v/>
      </c>
    </row>
    <row r="231">
      <c r="A231" t="inlineStr">
        <is>
          <t>EMD-28089</t>
        </is>
      </c>
      <c r="B231" t="inlineStr">
        <is>
          <t>amyloid</t>
        </is>
      </c>
      <c r="C231" t="n">
        <v>3.2</v>
      </c>
      <c r="D231" t="n">
        <v>4.75</v>
      </c>
      <c r="E231" t="n">
        <v>-0.5649999999999999</v>
      </c>
      <c r="F231" t="inlineStr">
        <is>
          <t>C1</t>
        </is>
      </c>
      <c r="G231" t="inlineStr">
        <is>
          <t>4.75</t>
        </is>
      </c>
      <c r="H231" t="n">
        <v>-0.5649999999999999</v>
      </c>
      <c r="I231" t="inlineStr">
        <is>
          <t>C1</t>
        </is>
      </c>
      <c r="J231" t="n">
        <v>0</v>
      </c>
      <c r="K231" t="inlineStr"/>
      <c r="L231" t="n">
        <v>0.95908</v>
      </c>
      <c r="M231" t="n">
        <v>0.95908</v>
      </c>
      <c r="N231" t="inlineStr">
        <is>
          <t>Yes</t>
        </is>
      </c>
      <c r="O231" t="inlineStr">
        <is>
          <t>equal</t>
        </is>
      </c>
      <c r="P231" t="inlineStr">
        <is>
          <t>deposited</t>
        </is>
      </c>
      <c r="Q231" t="inlineStr"/>
      <c r="R231" t="inlineStr"/>
      <c r="S231">
        <f>HYPERLINK("https://helical-indexing-hi3d.streamlit.app/?emd_id=emd-28089&amp;rise=4.75&amp;twist=-0.565&amp;csym=1&amp;rise2=4.75&amp;twist2=-0.565&amp;csym2=1", "Link")</f>
        <v/>
      </c>
    </row>
    <row r="232">
      <c r="A232" t="inlineStr">
        <is>
          <t>EMD-26274</t>
        </is>
      </c>
      <c r="B232" t="inlineStr">
        <is>
          <t>amyloid</t>
        </is>
      </c>
      <c r="C232" t="n">
        <v>3.2</v>
      </c>
      <c r="D232" t="n">
        <v>4.8</v>
      </c>
      <c r="E232" t="n">
        <v>-0.4</v>
      </c>
      <c r="F232" t="inlineStr">
        <is>
          <t>C1</t>
        </is>
      </c>
      <c r="G232" t="inlineStr">
        <is>
          <t>4.8</t>
        </is>
      </c>
      <c r="H232" t="n">
        <v>-0.4</v>
      </c>
      <c r="I232" t="inlineStr">
        <is>
          <t>C1</t>
        </is>
      </c>
      <c r="J232" t="n">
        <v>0</v>
      </c>
      <c r="K232" t="inlineStr"/>
      <c r="L232" t="n">
        <v>0.94698</v>
      </c>
      <c r="M232" t="n">
        <v>0.94698</v>
      </c>
      <c r="N232" t="inlineStr">
        <is>
          <t>Yes</t>
        </is>
      </c>
      <c r="O232" t="inlineStr">
        <is>
          <t>equal</t>
        </is>
      </c>
      <c r="P232" t="inlineStr">
        <is>
          <t>deposited</t>
        </is>
      </c>
      <c r="Q232" t="inlineStr"/>
      <c r="R232" t="inlineStr"/>
      <c r="S232">
        <f>HYPERLINK("https://helical-indexing-hi3d.streamlit.app/?emd_id=emd-26274&amp;rise=4.8&amp;twist=-0.4&amp;csym=1&amp;rise2=4.8&amp;twist2=-0.4&amp;csym2=1", "Link")</f>
        <v/>
      </c>
    </row>
    <row r="233">
      <c r="A233" t="inlineStr">
        <is>
          <t>EMD-18284</t>
        </is>
      </c>
      <c r="B233" t="inlineStr">
        <is>
          <t>amyloid</t>
        </is>
      </c>
      <c r="C233" t="n">
        <v>3.2</v>
      </c>
      <c r="D233" t="n">
        <v>2.39</v>
      </c>
      <c r="E233" t="n">
        <v>179.353</v>
      </c>
      <c r="F233" t="inlineStr">
        <is>
          <t>C1</t>
        </is>
      </c>
      <c r="G233" t="inlineStr">
        <is>
          <t>2.39</t>
        </is>
      </c>
      <c r="H233" t="n">
        <v>179.353</v>
      </c>
      <c r="I233" t="inlineStr">
        <is>
          <t>C1</t>
        </is>
      </c>
      <c r="J233" t="n">
        <v>0</v>
      </c>
      <c r="K233" t="inlineStr"/>
      <c r="L233" t="n">
        <v>0.96247</v>
      </c>
      <c r="M233" t="n">
        <v>0.96247</v>
      </c>
      <c r="N233" t="inlineStr">
        <is>
          <t>Yes</t>
        </is>
      </c>
      <c r="O233" t="inlineStr">
        <is>
          <t>equal</t>
        </is>
      </c>
      <c r="P233" t="inlineStr">
        <is>
          <t>deposited</t>
        </is>
      </c>
      <c r="Q233" t="inlineStr"/>
      <c r="R233" t="inlineStr"/>
      <c r="S233">
        <f>HYPERLINK("https://helical-indexing-hi3d.streamlit.app/?emd_id=emd-18284&amp;rise=2.39&amp;twist=179.353&amp;csym=1&amp;rise2=2.39&amp;twist2=179.353&amp;csym2=1", "Link")</f>
        <v/>
      </c>
    </row>
    <row r="234">
      <c r="A234" t="inlineStr">
        <is>
          <t>EMD-27728</t>
        </is>
      </c>
      <c r="B234" t="inlineStr">
        <is>
          <t>amyloid</t>
        </is>
      </c>
      <c r="C234" t="n">
        <v>3.2</v>
      </c>
      <c r="D234" t="n">
        <v>2.44</v>
      </c>
      <c r="E234" t="n">
        <v>179.6</v>
      </c>
      <c r="F234" t="inlineStr">
        <is>
          <t>C1</t>
        </is>
      </c>
      <c r="G234" t="inlineStr">
        <is>
          <t>2.44</t>
        </is>
      </c>
      <c r="H234" t="n">
        <v>179.6</v>
      </c>
      <c r="I234" t="inlineStr">
        <is>
          <t>C1</t>
        </is>
      </c>
      <c r="J234" t="n">
        <v>0</v>
      </c>
      <c r="K234" t="inlineStr">
        <is>
          <t>z -&gt; x</t>
        </is>
      </c>
      <c r="L234" t="n">
        <v>0.7934600000000001</v>
      </c>
      <c r="M234" t="n">
        <v>0.7934600000000001</v>
      </c>
      <c r="N234" t="inlineStr">
        <is>
          <t>Yes</t>
        </is>
      </c>
      <c r="O234" t="inlineStr">
        <is>
          <t>equal</t>
        </is>
      </c>
      <c r="P234" t="inlineStr">
        <is>
          <t>deposited</t>
        </is>
      </c>
      <c r="Q234" t="inlineStr"/>
      <c r="R234" t="inlineStr"/>
      <c r="S234">
        <f>HYPERLINK("https://helical-indexing-hi3d.streamlit.app/?emd_id=emd-27728&amp;rise=2.44&amp;twist=179.6&amp;csym=1&amp;rise2=2.44&amp;twist2=179.6&amp;csym2=1", "Link")</f>
        <v/>
      </c>
    </row>
    <row r="235">
      <c r="A235" t="inlineStr">
        <is>
          <t>EMD-24954</t>
        </is>
      </c>
      <c r="B235" t="inlineStr">
        <is>
          <t>amyloid</t>
        </is>
      </c>
      <c r="C235" t="n">
        <v>3.2</v>
      </c>
      <c r="D235" t="n">
        <v>4.91</v>
      </c>
      <c r="E235" t="n">
        <v>179.59</v>
      </c>
      <c r="F235" t="inlineStr">
        <is>
          <t>C2</t>
        </is>
      </c>
      <c r="G235" t="inlineStr">
        <is>
          <t>4.91</t>
        </is>
      </c>
      <c r="H235" t="n">
        <v>179.59</v>
      </c>
      <c r="I235" t="inlineStr">
        <is>
          <t>C2</t>
        </is>
      </c>
      <c r="J235" t="n">
        <v>0</v>
      </c>
      <c r="K235" t="inlineStr"/>
      <c r="L235" t="n">
        <v>0.96041</v>
      </c>
      <c r="M235" t="n">
        <v>0.96041</v>
      </c>
      <c r="N235" t="inlineStr">
        <is>
          <t>Yes</t>
        </is>
      </c>
      <c r="O235" t="inlineStr">
        <is>
          <t>equal</t>
        </is>
      </c>
      <c r="P235" t="inlineStr">
        <is>
          <t>deposited</t>
        </is>
      </c>
      <c r="Q235" t="inlineStr"/>
      <c r="R235" t="inlineStr"/>
      <c r="S235">
        <f>HYPERLINK("https://helical-indexing-hi3d.streamlit.app/?emd_id=emd-24954&amp;rise=4.91&amp;twist=179.59&amp;csym=2&amp;rise2=4.91&amp;twist2=179.59&amp;csym2=2", "Link")</f>
        <v/>
      </c>
    </row>
    <row r="236">
      <c r="A236" t="inlineStr">
        <is>
          <t>EMD-0077</t>
        </is>
      </c>
      <c r="B236" t="inlineStr">
        <is>
          <t>amyloid</t>
        </is>
      </c>
      <c r="C236" t="n">
        <v>3.2</v>
      </c>
      <c r="D236" t="n">
        <v>4.78</v>
      </c>
      <c r="E236" t="n">
        <v>-0.75</v>
      </c>
      <c r="F236" t="inlineStr">
        <is>
          <t>C1</t>
        </is>
      </c>
      <c r="G236" t="inlineStr">
        <is>
          <t>4.70352</t>
        </is>
      </c>
      <c r="H236" t="n">
        <v>-0.735</v>
      </c>
      <c r="I236" t="inlineStr">
        <is>
          <t>C1</t>
        </is>
      </c>
      <c r="J236" t="n">
        <v>0.07662540599999999</v>
      </c>
      <c r="K236" t="inlineStr">
        <is>
          <t> </t>
        </is>
      </c>
      <c r="L236" t="n">
        <v>0.34881</v>
      </c>
      <c r="M236" t="n">
        <v>0.36219</v>
      </c>
      <c r="N236" t="inlineStr">
        <is>
          <t>Excluded</t>
        </is>
      </c>
      <c r="O236" t="inlineStr"/>
      <c r="P236" t="inlineStr">
        <is>
          <t>xy-shifted</t>
        </is>
      </c>
      <c r="Q236" t="inlineStr"/>
      <c r="R236" t="inlineStr"/>
      <c r="S236">
        <f>HYPERLINK("https://helical-indexing-hi3d.streamlit.app/?emd_id=emd-0077&amp;rise=4.70352&amp;twist=-0.735&amp;csym=1&amp;rise2=4.78&amp;twist2=-0.75&amp;csym2=1", "Link")</f>
        <v/>
      </c>
    </row>
    <row r="237">
      <c r="A237" t="inlineStr">
        <is>
          <t>EMD-23270</t>
        </is>
      </c>
      <c r="B237" t="inlineStr">
        <is>
          <t>amyloid</t>
        </is>
      </c>
      <c r="C237" t="n">
        <v>3.2</v>
      </c>
      <c r="D237" t="n">
        <v>4.8</v>
      </c>
      <c r="E237" t="n">
        <v>-1.64</v>
      </c>
      <c r="F237" t="inlineStr">
        <is>
          <t>C1</t>
        </is>
      </c>
      <c r="G237" t="inlineStr">
        <is>
          <t>4.7232</t>
        </is>
      </c>
      <c r="H237" t="n">
        <v>-1.6072</v>
      </c>
      <c r="I237" t="inlineStr">
        <is>
          <t>C1</t>
        </is>
      </c>
      <c r="J237" t="n">
        <v>0.077440563</v>
      </c>
      <c r="K237" t="inlineStr">
        <is>
          <t> </t>
        </is>
      </c>
      <c r="L237" t="n">
        <v>0.74441</v>
      </c>
      <c r="M237" t="n">
        <v>0.74777</v>
      </c>
      <c r="N237" t="inlineStr">
        <is>
          <t>No</t>
        </is>
      </c>
      <c r="O237" t="inlineStr">
        <is>
          <t>improve</t>
        </is>
      </c>
      <c r="P237" t="inlineStr">
        <is>
          <t>adjusted decimals</t>
        </is>
      </c>
      <c r="Q237" t="inlineStr"/>
      <c r="R237" t="inlineStr"/>
      <c r="S237">
        <f>HYPERLINK("https://helical-indexing-hi3d.streamlit.app/?emd_id=emd-23270&amp;rise=4.7232&amp;twist=-1.6072&amp;csym=1&amp;rise2=4.8&amp;twist2=-1.64&amp;csym2=1", "Link")</f>
        <v/>
      </c>
    </row>
    <row r="238">
      <c r="A238" t="inlineStr">
        <is>
          <t>EMD-27688</t>
        </is>
      </c>
      <c r="B238" t="inlineStr">
        <is>
          <t>amyloid</t>
        </is>
      </c>
      <c r="C238" t="n">
        <v>3.2</v>
      </c>
      <c r="D238" t="n">
        <v>4.8</v>
      </c>
      <c r="E238" t="n">
        <v>-1.65</v>
      </c>
      <c r="F238" t="inlineStr">
        <is>
          <t>C1</t>
        </is>
      </c>
      <c r="G238" t="inlineStr">
        <is>
          <t>4.8</t>
        </is>
      </c>
      <c r="H238" t="n">
        <v>-1.65</v>
      </c>
      <c r="I238" t="inlineStr">
        <is>
          <t>C1</t>
        </is>
      </c>
      <c r="J238" t="n">
        <v>0</v>
      </c>
      <c r="K238" t="inlineStr"/>
      <c r="L238" t="n">
        <v>0.9892</v>
      </c>
      <c r="M238" t="n">
        <v>0.9892</v>
      </c>
      <c r="N238" t="inlineStr">
        <is>
          <t>Yes</t>
        </is>
      </c>
      <c r="O238" t="inlineStr">
        <is>
          <t>equal</t>
        </is>
      </c>
      <c r="P238" t="inlineStr">
        <is>
          <t>deposited</t>
        </is>
      </c>
      <c r="Q238" t="inlineStr"/>
      <c r="R238" t="inlineStr"/>
      <c r="S238">
        <f>HYPERLINK("https://helical-indexing-hi3d.streamlit.app/?emd_id=emd-27688&amp;rise=4.8&amp;twist=-1.65&amp;csym=1&amp;rise2=4.8&amp;twist2=-1.65&amp;csym2=1", "Link")</f>
        <v/>
      </c>
    </row>
    <row r="239">
      <c r="A239" t="inlineStr">
        <is>
          <t>EMD-27093</t>
        </is>
      </c>
      <c r="B239" t="inlineStr">
        <is>
          <t>amyloid</t>
        </is>
      </c>
      <c r="C239" t="n">
        <v>3.2</v>
      </c>
      <c r="D239" t="n">
        <v>4.8</v>
      </c>
      <c r="E239" t="n">
        <v>-0.86</v>
      </c>
      <c r="F239" t="inlineStr">
        <is>
          <t>C1</t>
        </is>
      </c>
      <c r="G239" t="inlineStr">
        <is>
          <t>4.8</t>
        </is>
      </c>
      <c r="H239" t="n">
        <v>-0.86</v>
      </c>
      <c r="I239" t="inlineStr">
        <is>
          <t>C1</t>
        </is>
      </c>
      <c r="J239" t="n">
        <v>0</v>
      </c>
      <c r="K239" t="inlineStr"/>
      <c r="L239" t="n">
        <v>0.80646</v>
      </c>
      <c r="M239" t="n">
        <v>0.80646</v>
      </c>
      <c r="N239" t="inlineStr">
        <is>
          <t>Yes</t>
        </is>
      </c>
      <c r="O239" t="inlineStr">
        <is>
          <t>equal</t>
        </is>
      </c>
      <c r="P239" t="inlineStr">
        <is>
          <t>deposited</t>
        </is>
      </c>
      <c r="Q239" t="inlineStr"/>
      <c r="R239" t="inlineStr"/>
      <c r="S239">
        <f>HYPERLINK("https://helical-indexing-hi3d.streamlit.app/?emd_id=emd-27093&amp;rise=4.8&amp;twist=-0.86&amp;csym=1&amp;rise2=4.8&amp;twist2=-0.86&amp;csym2=1", "Link")</f>
        <v/>
      </c>
    </row>
    <row r="240">
      <c r="A240" t="inlineStr">
        <is>
          <t>EMD-10512</t>
        </is>
      </c>
      <c r="B240" t="inlineStr">
        <is>
          <t>amyloid</t>
        </is>
      </c>
      <c r="C240" t="n">
        <v>3.2</v>
      </c>
      <c r="D240" t="n">
        <v>4.786</v>
      </c>
      <c r="E240" t="n">
        <v>-0.845</v>
      </c>
      <c r="F240" t="inlineStr">
        <is>
          <t>C1</t>
        </is>
      </c>
      <c r="G240" t="inlineStr">
        <is>
          <t>4.786</t>
        </is>
      </c>
      <c r="H240" t="n">
        <v>-0.845</v>
      </c>
      <c r="I240" t="inlineStr">
        <is>
          <t>C1</t>
        </is>
      </c>
      <c r="J240" t="n">
        <v>0</v>
      </c>
      <c r="K240" t="inlineStr"/>
      <c r="L240" t="n">
        <v>0.95556</v>
      </c>
      <c r="M240" t="n">
        <v>0.95556</v>
      </c>
      <c r="N240" t="inlineStr">
        <is>
          <t>Yes</t>
        </is>
      </c>
      <c r="O240" t="inlineStr">
        <is>
          <t>equal</t>
        </is>
      </c>
      <c r="P240" t="inlineStr">
        <is>
          <t>deposited</t>
        </is>
      </c>
      <c r="Q240" t="inlineStr"/>
      <c r="R240" t="inlineStr"/>
      <c r="S240">
        <f>HYPERLINK("https://helical-indexing-hi3d.streamlit.app/?emd_id=emd-10512&amp;rise=4.786&amp;twist=-0.845&amp;csym=1&amp;rise2=4.786&amp;twist2=-0.845&amp;csym2=1", "Link")</f>
        <v/>
      </c>
    </row>
    <row r="241">
      <c r="A241" t="inlineStr">
        <is>
          <t>EMD-27092</t>
        </is>
      </c>
      <c r="B241" t="inlineStr">
        <is>
          <t>amyloid</t>
        </is>
      </c>
      <c r="C241" t="n">
        <v>3.2</v>
      </c>
      <c r="D241" t="n">
        <v>4.8</v>
      </c>
      <c r="E241" t="n">
        <v>-0.82</v>
      </c>
      <c r="F241" t="inlineStr">
        <is>
          <t>C1</t>
        </is>
      </c>
      <c r="G241" t="inlineStr">
        <is>
          <t>4.8</t>
        </is>
      </c>
      <c r="H241" t="n">
        <v>-0.82</v>
      </c>
      <c r="I241" t="inlineStr">
        <is>
          <t>C1</t>
        </is>
      </c>
      <c r="J241" t="n">
        <v>0</v>
      </c>
      <c r="K241" t="inlineStr"/>
      <c r="L241" t="n">
        <v>0.80233</v>
      </c>
      <c r="M241" t="n">
        <v>0.80233</v>
      </c>
      <c r="N241" t="inlineStr">
        <is>
          <t>Yes</t>
        </is>
      </c>
      <c r="O241" t="inlineStr">
        <is>
          <t>equal</t>
        </is>
      </c>
      <c r="P241" t="inlineStr">
        <is>
          <t>deposited</t>
        </is>
      </c>
      <c r="Q241" t="inlineStr"/>
      <c r="R241" t="inlineStr"/>
      <c r="S241">
        <f>HYPERLINK("https://helical-indexing-hi3d.streamlit.app/?emd_id=emd-27092&amp;rise=4.8&amp;twist=-0.82&amp;csym=1&amp;rise2=4.8&amp;twist2=-0.82&amp;csym2=1", "Link")</f>
        <v/>
      </c>
    </row>
    <row r="242">
      <c r="A242" t="inlineStr">
        <is>
          <t>EMD-18331</t>
        </is>
      </c>
      <c r="B242" t="inlineStr">
        <is>
          <t>amyloid</t>
        </is>
      </c>
      <c r="C242" t="n">
        <v>3.21</v>
      </c>
      <c r="D242" t="n">
        <v>4.75</v>
      </c>
      <c r="E242" t="n">
        <v>-1.24</v>
      </c>
      <c r="F242" t="inlineStr">
        <is>
          <t>C1</t>
        </is>
      </c>
      <c r="G242" t="inlineStr">
        <is>
          <t>4.75</t>
        </is>
      </c>
      <c r="H242" t="n">
        <v>-1.24</v>
      </c>
      <c r="I242" t="inlineStr">
        <is>
          <t>C1</t>
        </is>
      </c>
      <c r="J242" t="n">
        <v>0</v>
      </c>
      <c r="K242" t="inlineStr"/>
      <c r="L242" t="n">
        <v>0.96927</v>
      </c>
      <c r="M242" t="n">
        <v>0.96927</v>
      </c>
      <c r="N242" t="inlineStr">
        <is>
          <t>Yes</t>
        </is>
      </c>
      <c r="O242" t="inlineStr">
        <is>
          <t>equal</t>
        </is>
      </c>
      <c r="P242" t="inlineStr">
        <is>
          <t>deposited</t>
        </is>
      </c>
      <c r="Q242" t="inlineStr"/>
      <c r="R242" t="inlineStr"/>
      <c r="S242">
        <f>HYPERLINK("https://helical-indexing-hi3d.streamlit.app/?emd_id=emd-18331&amp;rise=4.75&amp;twist=-1.24&amp;csym=1&amp;rise2=4.75&amp;twist2=-1.24&amp;csym2=1", "Link")</f>
        <v/>
      </c>
    </row>
    <row r="243">
      <c r="A243" t="inlineStr">
        <is>
          <t>EMD-12794</t>
        </is>
      </c>
      <c r="B243" t="inlineStr">
        <is>
          <t>amyloid</t>
        </is>
      </c>
      <c r="C243" t="n">
        <v>3.22</v>
      </c>
      <c r="D243" t="n">
        <v>4.72</v>
      </c>
      <c r="E243" t="n">
        <v>-0.552</v>
      </c>
      <c r="F243" t="inlineStr">
        <is>
          <t>C2</t>
        </is>
      </c>
      <c r="G243" t="inlineStr">
        <is>
          <t>4.72</t>
        </is>
      </c>
      <c r="H243" t="n">
        <v>-0.552</v>
      </c>
      <c r="I243" t="inlineStr">
        <is>
          <t>C2</t>
        </is>
      </c>
      <c r="J243" t="n">
        <v>0</v>
      </c>
      <c r="K243" t="inlineStr"/>
      <c r="L243" t="n">
        <v>0.9525</v>
      </c>
      <c r="M243" t="n">
        <v>0.9525</v>
      </c>
      <c r="N243" t="inlineStr">
        <is>
          <t>Yes</t>
        </is>
      </c>
      <c r="O243" t="inlineStr">
        <is>
          <t>equal</t>
        </is>
      </c>
      <c r="P243" t="inlineStr">
        <is>
          <t>deposited</t>
        </is>
      </c>
      <c r="Q243" t="inlineStr"/>
      <c r="R243" t="inlineStr"/>
      <c r="S243">
        <f>HYPERLINK("https://helical-indexing-hi3d.streamlit.app/?emd_id=emd-12794&amp;rise=4.72&amp;twist=-0.552&amp;csym=2&amp;rise2=4.72&amp;twist2=-0.552&amp;csym2=2", "Link")</f>
        <v/>
      </c>
    </row>
    <row r="244">
      <c r="A244" t="inlineStr">
        <is>
          <t>EMD-0801</t>
        </is>
      </c>
      <c r="B244" t="inlineStr">
        <is>
          <t>amyloid</t>
        </is>
      </c>
      <c r="C244" t="n">
        <v>3.22</v>
      </c>
      <c r="D244" t="n">
        <v>2.41</v>
      </c>
      <c r="E244" t="n">
        <v>179.65</v>
      </c>
      <c r="F244" t="inlineStr">
        <is>
          <t>C1</t>
        </is>
      </c>
      <c r="G244" t="inlineStr">
        <is>
          <t>2.41</t>
        </is>
      </c>
      <c r="H244" t="n">
        <v>179.65</v>
      </c>
      <c r="I244" t="inlineStr">
        <is>
          <t>C1</t>
        </is>
      </c>
      <c r="J244" t="n">
        <v>0</v>
      </c>
      <c r="K244" t="inlineStr"/>
      <c r="L244" t="n">
        <v>0.90535</v>
      </c>
      <c r="M244" t="n">
        <v>0.90535</v>
      </c>
      <c r="N244" t="inlineStr">
        <is>
          <t>Yes</t>
        </is>
      </c>
      <c r="O244" t="inlineStr">
        <is>
          <t>equal</t>
        </is>
      </c>
      <c r="P244" t="inlineStr">
        <is>
          <t>deposited</t>
        </is>
      </c>
      <c r="Q244" t="inlineStr"/>
      <c r="R244" t="inlineStr"/>
      <c r="S244">
        <f>HYPERLINK("https://helical-indexing-hi3d.streamlit.app/?emd_id=emd-0801&amp;rise=2.41&amp;twist=179.65&amp;csym=1&amp;rise2=2.41&amp;twist2=179.65&amp;csym2=1", "Link")</f>
        <v/>
      </c>
    </row>
    <row r="245">
      <c r="A245" t="inlineStr">
        <is>
          <t>EMD-14054</t>
        </is>
      </c>
      <c r="B245" t="inlineStr">
        <is>
          <t>amyloid</t>
        </is>
      </c>
      <c r="C245" t="n">
        <v>3.23</v>
      </c>
      <c r="D245" t="n">
        <v>4.75</v>
      </c>
      <c r="E245" t="n">
        <v>-1.3</v>
      </c>
      <c r="F245" t="inlineStr">
        <is>
          <t>C3</t>
        </is>
      </c>
      <c r="G245" t="inlineStr">
        <is>
          <t>4.75</t>
        </is>
      </c>
      <c r="H245" t="n">
        <v>-1.3</v>
      </c>
      <c r="I245" t="inlineStr">
        <is>
          <t>C3</t>
        </is>
      </c>
      <c r="J245" t="n">
        <v>0</v>
      </c>
      <c r="K245" t="inlineStr"/>
      <c r="L245" t="n">
        <v>0.96666</v>
      </c>
      <c r="M245" t="n">
        <v>0.96666</v>
      </c>
      <c r="N245" t="inlineStr">
        <is>
          <t>Yes</t>
        </is>
      </c>
      <c r="O245" t="inlineStr">
        <is>
          <t>equal</t>
        </is>
      </c>
      <c r="P245" t="inlineStr">
        <is>
          <t>deposited</t>
        </is>
      </c>
      <c r="Q245" t="inlineStr"/>
      <c r="R245" t="inlineStr"/>
      <c r="S245">
        <f>HYPERLINK("https://helical-indexing-hi3d.streamlit.app/?emd_id=emd-14054&amp;rise=4.75&amp;twist=-1.3&amp;csym=3&amp;rise2=4.75&amp;twist2=-1.3&amp;csym2=3", "Link")</f>
        <v/>
      </c>
    </row>
    <row r="246">
      <c r="A246" t="inlineStr">
        <is>
          <t>EMD-15370</t>
        </is>
      </c>
      <c r="B246" t="inlineStr">
        <is>
          <t>amyloid</t>
        </is>
      </c>
      <c r="C246" t="n">
        <v>3.24</v>
      </c>
      <c r="D246" t="n">
        <v>4.69</v>
      </c>
      <c r="E246" t="n">
        <v>-0.95</v>
      </c>
      <c r="F246" t="inlineStr">
        <is>
          <t>C1</t>
        </is>
      </c>
      <c r="G246" t="inlineStr">
        <is>
          <t>4.69</t>
        </is>
      </c>
      <c r="H246" t="n">
        <v>-0.95</v>
      </c>
      <c r="I246" t="inlineStr">
        <is>
          <t>C1</t>
        </is>
      </c>
      <c r="J246" t="n">
        <v>0</v>
      </c>
      <c r="K246" t="inlineStr"/>
      <c r="L246" t="n">
        <v>0.95001</v>
      </c>
      <c r="M246" t="n">
        <v>0.95001</v>
      </c>
      <c r="N246" t="inlineStr">
        <is>
          <t>Yes</t>
        </is>
      </c>
      <c r="O246" t="inlineStr">
        <is>
          <t>equal</t>
        </is>
      </c>
      <c r="P246" t="inlineStr">
        <is>
          <t>deposited</t>
        </is>
      </c>
      <c r="Q246" t="inlineStr"/>
      <c r="R246" t="inlineStr"/>
      <c r="S246">
        <f>HYPERLINK("https://helical-indexing-hi3d.streamlit.app/?emd_id=emd-15370&amp;rise=4.69&amp;twist=-0.95&amp;csym=1&amp;rise2=4.69&amp;twist2=-0.95&amp;csym2=1", "Link")</f>
        <v/>
      </c>
    </row>
    <row r="247">
      <c r="A247" t="inlineStr">
        <is>
          <t>EMD-18224</t>
        </is>
      </c>
      <c r="B247" t="inlineStr">
        <is>
          <t>amyloid</t>
        </is>
      </c>
      <c r="C247" t="n">
        <v>3.26</v>
      </c>
      <c r="D247" t="n">
        <v>4.77</v>
      </c>
      <c r="E247" t="n">
        <v>-0.77</v>
      </c>
      <c r="F247" t="inlineStr">
        <is>
          <t>C1</t>
        </is>
      </c>
      <c r="G247" t="inlineStr">
        <is>
          <t>4.77</t>
        </is>
      </c>
      <c r="H247" t="n">
        <v>-0.77</v>
      </c>
      <c r="I247" t="inlineStr">
        <is>
          <t>C1</t>
        </is>
      </c>
      <c r="J247" t="n">
        <v>0</v>
      </c>
      <c r="K247" t="inlineStr"/>
      <c r="L247" t="n">
        <v>0.96301</v>
      </c>
      <c r="M247" t="n">
        <v>0.96301</v>
      </c>
      <c r="N247" t="inlineStr">
        <is>
          <t>Yes</t>
        </is>
      </c>
      <c r="O247" t="inlineStr">
        <is>
          <t>equal</t>
        </is>
      </c>
      <c r="P247" t="inlineStr">
        <is>
          <t>deposited</t>
        </is>
      </c>
      <c r="Q247" t="inlineStr"/>
      <c r="R247" t="inlineStr"/>
      <c r="S247">
        <f>HYPERLINK("https://helical-indexing-hi3d.streamlit.app/?emd_id=emd-18224&amp;rise=4.77&amp;twist=-0.77&amp;csym=1&amp;rise2=4.77&amp;twist2=-0.77&amp;csym2=1", "Link")</f>
        <v/>
      </c>
    </row>
    <row r="248">
      <c r="A248" t="inlineStr">
        <is>
          <t>EMD-14044</t>
        </is>
      </c>
      <c r="B248" t="inlineStr">
        <is>
          <t>amyloid</t>
        </is>
      </c>
      <c r="C248" t="n">
        <v>3.26</v>
      </c>
      <c r="D248" t="n">
        <v>4.78</v>
      </c>
      <c r="E248" t="n">
        <v>-0.99</v>
      </c>
      <c r="F248" t="inlineStr">
        <is>
          <t>C1</t>
        </is>
      </c>
      <c r="G248" t="inlineStr">
        <is>
          <t>4.78</t>
        </is>
      </c>
      <c r="H248" t="n">
        <v>-0.99</v>
      </c>
      <c r="I248" t="inlineStr">
        <is>
          <t>C1</t>
        </is>
      </c>
      <c r="J248" t="n">
        <v>0</v>
      </c>
      <c r="K248" t="inlineStr"/>
      <c r="L248" t="n">
        <v>0.9644</v>
      </c>
      <c r="M248" t="n">
        <v>0.9644</v>
      </c>
      <c r="N248" t="inlineStr">
        <is>
          <t>Yes</t>
        </is>
      </c>
      <c r="O248" t="inlineStr">
        <is>
          <t>equal</t>
        </is>
      </c>
      <c r="P248" t="inlineStr">
        <is>
          <t>deposited</t>
        </is>
      </c>
      <c r="Q248" t="inlineStr"/>
      <c r="R248" t="inlineStr"/>
      <c r="S248">
        <f>HYPERLINK("https://helical-indexing-hi3d.streamlit.app/?emd_id=emd-14044&amp;rise=4.78&amp;twist=-0.99&amp;csym=1&amp;rise2=4.78&amp;twist2=-0.99&amp;csym2=1", "Link")</f>
        <v/>
      </c>
    </row>
    <row r="249">
      <c r="A249" t="inlineStr">
        <is>
          <t>EMD-16039</t>
        </is>
      </c>
      <c r="B249" t="inlineStr">
        <is>
          <t>amyloid</t>
        </is>
      </c>
      <c r="C249" t="n">
        <v>3.27</v>
      </c>
      <c r="D249" t="n">
        <v>2.413</v>
      </c>
      <c r="E249" t="n">
        <v>174.454</v>
      </c>
      <c r="F249" t="inlineStr">
        <is>
          <t>C1</t>
        </is>
      </c>
      <c r="G249" t="inlineStr">
        <is>
          <t>2.39</t>
        </is>
      </c>
      <c r="H249" t="n">
        <v>179.43</v>
      </c>
      <c r="I249" t="inlineStr">
        <is>
          <t>C1</t>
        </is>
      </c>
      <c r="J249" t="n">
        <v>2.143751164797179</v>
      </c>
      <c r="K249" t="inlineStr"/>
      <c r="L249" t="n">
        <v>0.02882</v>
      </c>
      <c r="M249" t="n">
        <v>0.76713</v>
      </c>
      <c r="N249" t="inlineStr">
        <is>
          <t>Yes</t>
        </is>
      </c>
      <c r="O249" t="inlineStr">
        <is>
          <t>improve</t>
        </is>
      </c>
      <c r="P249" t="inlineStr">
        <is>
          <t>different</t>
        </is>
      </c>
      <c r="Q249" t="inlineStr"/>
      <c r="R249" t="inlineStr"/>
      <c r="S249">
        <f>HYPERLINK("https://helical-indexing-hi3d.streamlit.app/?emd_id=emd-16039&amp;rise=2.39&amp;twist=179.43&amp;csym=1&amp;rise2=2.413&amp;twist2=174.454&amp;csym2=1", "Link")</f>
        <v/>
      </c>
    </row>
    <row r="250">
      <c r="A250" t="inlineStr">
        <is>
          <t>EMD-29874</t>
        </is>
      </c>
      <c r="B250" t="inlineStr">
        <is>
          <t>amyloid</t>
        </is>
      </c>
      <c r="C250" t="n">
        <v>3.28</v>
      </c>
      <c r="D250" t="n">
        <v>4.96</v>
      </c>
      <c r="E250" t="n">
        <v>-1.35</v>
      </c>
      <c r="F250" t="inlineStr">
        <is>
          <t>C1</t>
        </is>
      </c>
      <c r="G250" t="inlineStr">
        <is>
          <t>4.96</t>
        </is>
      </c>
      <c r="H250" t="n">
        <v>-1.35</v>
      </c>
      <c r="I250" t="inlineStr">
        <is>
          <t>C1</t>
        </is>
      </c>
      <c r="J250" t="n">
        <v>0</v>
      </c>
      <c r="K250" t="inlineStr"/>
      <c r="L250" t="n">
        <v>0.93482</v>
      </c>
      <c r="M250" t="n">
        <v>0.93482</v>
      </c>
      <c r="N250" t="inlineStr">
        <is>
          <t>Yes</t>
        </is>
      </c>
      <c r="O250" t="inlineStr">
        <is>
          <t>equal</t>
        </is>
      </c>
      <c r="P250" t="inlineStr">
        <is>
          <t>deposited</t>
        </is>
      </c>
      <c r="Q250" t="inlineStr"/>
      <c r="R250" t="inlineStr"/>
      <c r="S250">
        <f>HYPERLINK("https://helical-indexing-hi3d.streamlit.app/?emd_id=emd-29874&amp;rise=4.96&amp;twist=-1.35&amp;csym=1&amp;rise2=4.96&amp;twist2=-1.35&amp;csym2=1", "Link")</f>
        <v/>
      </c>
    </row>
    <row r="251">
      <c r="A251" t="inlineStr">
        <is>
          <t>EMD-18228</t>
        </is>
      </c>
      <c r="B251" t="inlineStr">
        <is>
          <t>amyloid</t>
        </is>
      </c>
      <c r="C251" t="n">
        <v>3.28</v>
      </c>
      <c r="D251" t="n">
        <v>4.77</v>
      </c>
      <c r="E251" t="n">
        <v>-1.11</v>
      </c>
      <c r="F251" t="inlineStr">
        <is>
          <t>C1</t>
        </is>
      </c>
      <c r="G251" t="inlineStr">
        <is>
          <t>4.77</t>
        </is>
      </c>
      <c r="H251" t="n">
        <v>-1.11</v>
      </c>
      <c r="I251" t="inlineStr">
        <is>
          <t>C1</t>
        </is>
      </c>
      <c r="J251" t="n">
        <v>0</v>
      </c>
      <c r="K251" t="inlineStr"/>
      <c r="L251" t="n">
        <v>0.96818</v>
      </c>
      <c r="M251" t="n">
        <v>0.96818</v>
      </c>
      <c r="N251" t="inlineStr">
        <is>
          <t>Yes</t>
        </is>
      </c>
      <c r="O251" t="inlineStr">
        <is>
          <t>equal</t>
        </is>
      </c>
      <c r="P251" t="inlineStr">
        <is>
          <t>deposited</t>
        </is>
      </c>
      <c r="Q251" t="inlineStr"/>
      <c r="R251" t="inlineStr"/>
      <c r="S251">
        <f>HYPERLINK("https://helical-indexing-hi3d.streamlit.app/?emd_id=emd-18228&amp;rise=4.77&amp;twist=-1.11&amp;csym=1&amp;rise2=4.77&amp;twist2=-1.11&amp;csym2=1", "Link")</f>
        <v/>
      </c>
    </row>
    <row r="252">
      <c r="A252" t="inlineStr">
        <is>
          <t>EMD-10651</t>
        </is>
      </c>
      <c r="B252" t="inlineStr">
        <is>
          <t>amyloid</t>
        </is>
      </c>
      <c r="C252" t="n">
        <v>3.29</v>
      </c>
      <c r="D252" t="n">
        <v>4.72</v>
      </c>
      <c r="E252" t="n">
        <v>-1.41</v>
      </c>
      <c r="F252" t="inlineStr">
        <is>
          <t>C1</t>
        </is>
      </c>
      <c r="G252" t="inlineStr">
        <is>
          <t>4.72</t>
        </is>
      </c>
      <c r="H252" t="n">
        <v>-1.41</v>
      </c>
      <c r="I252" t="inlineStr">
        <is>
          <t>C1</t>
        </is>
      </c>
      <c r="J252" t="n">
        <v>0</v>
      </c>
      <c r="K252" t="inlineStr"/>
      <c r="L252" t="n">
        <v>0.94925</v>
      </c>
      <c r="M252" t="n">
        <v>0.94925</v>
      </c>
      <c r="N252" t="inlineStr">
        <is>
          <t>Yes</t>
        </is>
      </c>
      <c r="O252" t="inlineStr">
        <is>
          <t>equal</t>
        </is>
      </c>
      <c r="P252" t="inlineStr">
        <is>
          <t>deposited</t>
        </is>
      </c>
      <c r="Q252" t="inlineStr"/>
      <c r="R252" t="inlineStr"/>
      <c r="S252">
        <f>HYPERLINK("https://helical-indexing-hi3d.streamlit.app/?emd_id=emd-10651&amp;rise=4.72&amp;twist=-1.41&amp;csym=1&amp;rise2=4.72&amp;twist2=-1.41&amp;csym2=1", "Link")</f>
        <v/>
      </c>
    </row>
    <row r="253">
      <c r="A253" t="inlineStr">
        <is>
          <t>EMD-26607</t>
        </is>
      </c>
      <c r="B253" t="inlineStr">
        <is>
          <t>amyloid</t>
        </is>
      </c>
      <c r="C253" t="n">
        <v>3.29</v>
      </c>
      <c r="D253" t="n">
        <v>4.82</v>
      </c>
      <c r="E253" t="n">
        <v>-0.92</v>
      </c>
      <c r="F253" t="inlineStr">
        <is>
          <t>C2</t>
        </is>
      </c>
      <c r="G253" t="inlineStr">
        <is>
          <t>4.82</t>
        </is>
      </c>
      <c r="H253" t="n">
        <v>-0.92</v>
      </c>
      <c r="I253" t="inlineStr">
        <is>
          <t>C2</t>
        </is>
      </c>
      <c r="J253" t="n">
        <v>0</v>
      </c>
      <c r="K253" t="inlineStr"/>
      <c r="L253" t="n">
        <v>0.96821</v>
      </c>
      <c r="M253" t="n">
        <v>0.96821</v>
      </c>
      <c r="N253" t="inlineStr">
        <is>
          <t>Yes</t>
        </is>
      </c>
      <c r="O253" t="inlineStr">
        <is>
          <t>equal</t>
        </is>
      </c>
      <c r="P253" t="inlineStr">
        <is>
          <t>deposited</t>
        </is>
      </c>
      <c r="Q253" t="inlineStr"/>
      <c r="R253" t="inlineStr"/>
      <c r="S253">
        <f>HYPERLINK("https://helical-indexing-hi3d.streamlit.app/?emd_id=emd-26607&amp;rise=4.82&amp;twist=-0.92&amp;csym=2&amp;rise2=4.82&amp;twist2=-0.92&amp;csym2=2", "Link")</f>
        <v/>
      </c>
    </row>
    <row r="254">
      <c r="A254" t="inlineStr">
        <is>
          <t>EMD-14023</t>
        </is>
      </c>
      <c r="B254" t="inlineStr">
        <is>
          <t>amyloid</t>
        </is>
      </c>
      <c r="C254" t="n">
        <v>3.29</v>
      </c>
      <c r="D254" t="n">
        <v>4.75</v>
      </c>
      <c r="E254" t="n">
        <v>-0.727</v>
      </c>
      <c r="F254" t="inlineStr">
        <is>
          <t>C1</t>
        </is>
      </c>
      <c r="G254" t="inlineStr">
        <is>
          <t>4.75</t>
        </is>
      </c>
      <c r="H254" t="n">
        <v>-0.727</v>
      </c>
      <c r="I254" t="inlineStr">
        <is>
          <t>C1</t>
        </is>
      </c>
      <c r="J254" t="n">
        <v>0</v>
      </c>
      <c r="K254" t="inlineStr">
        <is>
          <t> </t>
        </is>
      </c>
      <c r="L254" t="n">
        <v>0.92121</v>
      </c>
      <c r="M254" t="n">
        <v>0.92121</v>
      </c>
      <c r="N254" t="inlineStr">
        <is>
          <t>Yes</t>
        </is>
      </c>
      <c r="O254" t="inlineStr">
        <is>
          <t>equal</t>
        </is>
      </c>
      <c r="P254" t="inlineStr">
        <is>
          <t>deposited</t>
        </is>
      </c>
      <c r="Q254" t="inlineStr"/>
      <c r="R254" t="inlineStr"/>
      <c r="S254">
        <f>HYPERLINK("https://helical-indexing-hi3d.streamlit.app/?emd_id=emd-14023&amp;rise=4.75&amp;twist=-0.727&amp;csym=1&amp;rise2=4.75&amp;twist2=-0.727&amp;csym2=1", "Link")</f>
        <v/>
      </c>
    </row>
    <row r="255">
      <c r="A255" t="inlineStr">
        <is>
          <t>EMD-13226</t>
        </is>
      </c>
      <c r="B255" t="inlineStr">
        <is>
          <t>amyloid</t>
        </is>
      </c>
      <c r="C255" t="n">
        <v>3.3</v>
      </c>
      <c r="D255" t="n">
        <v>4.92</v>
      </c>
      <c r="E255" t="n">
        <v>-0.42</v>
      </c>
      <c r="F255" t="inlineStr">
        <is>
          <t>C1</t>
        </is>
      </c>
      <c r="G255" t="inlineStr">
        <is>
          <t>4.92</t>
        </is>
      </c>
      <c r="H255" t="n">
        <v>-0.42</v>
      </c>
      <c r="I255" t="inlineStr">
        <is>
          <t>C1</t>
        </is>
      </c>
      <c r="J255" t="n">
        <v>0</v>
      </c>
      <c r="K255" t="inlineStr"/>
      <c r="L255" t="n">
        <v>0.94089</v>
      </c>
      <c r="M255" t="n">
        <v>0.94089</v>
      </c>
      <c r="N255" t="inlineStr">
        <is>
          <t>Yes</t>
        </is>
      </c>
      <c r="O255" t="inlineStr">
        <is>
          <t>equal</t>
        </is>
      </c>
      <c r="P255" t="inlineStr">
        <is>
          <t>deposited</t>
        </is>
      </c>
      <c r="Q255" t="inlineStr"/>
      <c r="R255" t="inlineStr"/>
      <c r="S255">
        <f>HYPERLINK("https://helical-indexing-hi3d.streamlit.app/?emd_id=emd-13226&amp;rise=4.92&amp;twist=-0.42&amp;csym=1&amp;rise2=4.92&amp;twist2=-0.42&amp;csym2=1", "Link")</f>
        <v/>
      </c>
    </row>
    <row r="256">
      <c r="A256" t="inlineStr">
        <is>
          <t>EMD-9349</t>
        </is>
      </c>
      <c r="B256" t="inlineStr">
        <is>
          <t>amyloid</t>
        </is>
      </c>
      <c r="C256" t="n">
        <v>3.3</v>
      </c>
      <c r="D256" t="n">
        <v>4.84</v>
      </c>
      <c r="E256" t="n">
        <v>179.34</v>
      </c>
      <c r="F256" t="inlineStr">
        <is>
          <t>C2</t>
        </is>
      </c>
      <c r="G256" t="inlineStr">
        <is>
          <t>4.84</t>
        </is>
      </c>
      <c r="H256" t="n">
        <v>179.34</v>
      </c>
      <c r="I256" t="inlineStr">
        <is>
          <t>C2</t>
        </is>
      </c>
      <c r="J256" t="n">
        <v>0</v>
      </c>
      <c r="K256" t="inlineStr">
        <is>
          <t> </t>
        </is>
      </c>
      <c r="L256" t="n">
        <v>0.98892</v>
      </c>
      <c r="M256" t="n">
        <v>0.98892</v>
      </c>
      <c r="N256" t="inlineStr">
        <is>
          <t>Yes</t>
        </is>
      </c>
      <c r="O256" t="inlineStr">
        <is>
          <t>equal</t>
        </is>
      </c>
      <c r="P256" t="inlineStr">
        <is>
          <t>deposited</t>
        </is>
      </c>
      <c r="Q256" t="inlineStr"/>
      <c r="R256" t="inlineStr"/>
      <c r="S256">
        <f>HYPERLINK("https://helical-indexing-hi3d.streamlit.app/?emd_id=emd-9349&amp;rise=4.84&amp;twist=179.34&amp;csym=2&amp;rise2=4.84&amp;twist2=179.34&amp;csym2=2", "Link")</f>
        <v/>
      </c>
    </row>
    <row r="257">
      <c r="A257" t="inlineStr">
        <is>
          <t>EMD-4563</t>
        </is>
      </c>
      <c r="B257" t="inlineStr">
        <is>
          <t>amyloid</t>
        </is>
      </c>
      <c r="C257" t="n">
        <v>3.3</v>
      </c>
      <c r="D257" t="n">
        <v>4.7</v>
      </c>
      <c r="E257" t="n">
        <v>-1.26</v>
      </c>
      <c r="F257" t="inlineStr">
        <is>
          <t>C1</t>
        </is>
      </c>
      <c r="G257" t="inlineStr">
        <is>
          <t>4.7</t>
        </is>
      </c>
      <c r="H257" t="n">
        <v>-1.26</v>
      </c>
      <c r="I257" t="inlineStr">
        <is>
          <t>C1</t>
        </is>
      </c>
      <c r="J257" t="n">
        <v>0</v>
      </c>
      <c r="K257" t="inlineStr"/>
      <c r="L257" t="n">
        <v>0.93053</v>
      </c>
      <c r="M257" t="n">
        <v>0.93053</v>
      </c>
      <c r="N257" t="inlineStr">
        <is>
          <t>Yes</t>
        </is>
      </c>
      <c r="O257" t="inlineStr">
        <is>
          <t>equal</t>
        </is>
      </c>
      <c r="P257" t="inlineStr">
        <is>
          <t>deposited</t>
        </is>
      </c>
      <c r="Q257" t="inlineStr"/>
      <c r="R257" t="inlineStr"/>
      <c r="S257">
        <f>HYPERLINK("https://helical-indexing-hi3d.streamlit.app/?emd_id=emd-4563&amp;rise=4.7&amp;twist=-1.26&amp;csym=1&amp;rise2=4.7&amp;twist2=-1.26&amp;csym2=1", "Link")</f>
        <v/>
      </c>
    </row>
    <row r="258">
      <c r="A258" t="inlineStr">
        <is>
          <t>EMD-27713</t>
        </is>
      </c>
      <c r="B258" t="inlineStr">
        <is>
          <t>amyloid</t>
        </is>
      </c>
      <c r="C258" t="n">
        <v>3.3</v>
      </c>
      <c r="D258" t="n">
        <v>2.45</v>
      </c>
      <c r="E258" t="n">
        <v>179.63</v>
      </c>
      <c r="F258" t="inlineStr">
        <is>
          <t>C1</t>
        </is>
      </c>
      <c r="G258" t="inlineStr">
        <is>
          <t>2.398</t>
        </is>
      </c>
      <c r="H258" t="n">
        <v>179.647</v>
      </c>
      <c r="I258" t="inlineStr">
        <is>
          <t>C1</t>
        </is>
      </c>
      <c r="J258" t="n">
        <v>0.052497702</v>
      </c>
      <c r="K258" t="inlineStr">
        <is>
          <t>z -&gt; x</t>
        </is>
      </c>
      <c r="L258" t="n">
        <v>0.54204</v>
      </c>
      <c r="M258" t="n">
        <v>0.9745</v>
      </c>
      <c r="N258" t="inlineStr">
        <is>
          <t>Yes</t>
        </is>
      </c>
      <c r="O258" t="inlineStr">
        <is>
          <t>improve</t>
        </is>
      </c>
      <c r="P258" t="inlineStr">
        <is>
          <t>adjusted decimals</t>
        </is>
      </c>
      <c r="Q258" t="inlineStr"/>
      <c r="R258" t="inlineStr"/>
      <c r="S258">
        <f>HYPERLINK("https://helical-indexing-hi3d.streamlit.app/?emd_id=emd-27713&amp;rise=2.398&amp;twist=179.647&amp;csym=1&amp;rise2=2.45&amp;twist2=179.63&amp;csym2=1", "Link")</f>
        <v/>
      </c>
    </row>
    <row r="259">
      <c r="A259" t="inlineStr">
        <is>
          <t>EMD-23894</t>
        </is>
      </c>
      <c r="B259" t="inlineStr">
        <is>
          <t>amyloid</t>
        </is>
      </c>
      <c r="C259" t="n">
        <v>3.3</v>
      </c>
      <c r="D259" t="n">
        <v>4.85</v>
      </c>
      <c r="E259" t="n">
        <v>-1.23</v>
      </c>
      <c r="F259" t="inlineStr">
        <is>
          <t>C1</t>
        </is>
      </c>
      <c r="G259" t="inlineStr">
        <is>
          <t>4.85</t>
        </is>
      </c>
      <c r="H259" t="n">
        <v>-1.23</v>
      </c>
      <c r="I259" t="inlineStr">
        <is>
          <t>C1</t>
        </is>
      </c>
      <c r="J259" t="n">
        <v>0</v>
      </c>
      <c r="K259" t="inlineStr"/>
      <c r="L259" t="n">
        <v>0.96271</v>
      </c>
      <c r="M259" t="n">
        <v>0.96271</v>
      </c>
      <c r="N259" t="inlineStr">
        <is>
          <t>Yes</t>
        </is>
      </c>
      <c r="O259" t="inlineStr">
        <is>
          <t>equal</t>
        </is>
      </c>
      <c r="P259" t="inlineStr">
        <is>
          <t>deposited</t>
        </is>
      </c>
      <c r="Q259" t="inlineStr"/>
      <c r="R259" t="inlineStr"/>
      <c r="S259">
        <f>HYPERLINK("https://helical-indexing-hi3d.streamlit.app/?emd_id=emd-23894&amp;rise=4.85&amp;twist=-1.23&amp;csym=1&amp;rise2=4.85&amp;twist2=-1.23&amp;csym2=1", "Link")</f>
        <v/>
      </c>
    </row>
    <row r="260">
      <c r="A260" t="inlineStr">
        <is>
          <t>EMD-4564</t>
        </is>
      </c>
      <c r="B260" t="inlineStr">
        <is>
          <t>amyloid</t>
        </is>
      </c>
      <c r="C260" t="n">
        <v>3.3</v>
      </c>
      <c r="D260" t="n">
        <v>4.7</v>
      </c>
      <c r="E260" t="n">
        <v>-3.38</v>
      </c>
      <c r="F260" t="inlineStr">
        <is>
          <t>C1</t>
        </is>
      </c>
      <c r="G260" t="inlineStr">
        <is>
          <t>4.7</t>
        </is>
      </c>
      <c r="H260" t="n">
        <v>-3.38</v>
      </c>
      <c r="I260" t="inlineStr">
        <is>
          <t>C1</t>
        </is>
      </c>
      <c r="J260" t="n">
        <v>0</v>
      </c>
      <c r="K260" t="inlineStr"/>
      <c r="L260" t="n">
        <v>0.94339</v>
      </c>
      <c r="M260" t="n">
        <v>0.94339</v>
      </c>
      <c r="N260" t="inlineStr">
        <is>
          <t>Yes</t>
        </is>
      </c>
      <c r="O260" t="inlineStr">
        <is>
          <t>equal</t>
        </is>
      </c>
      <c r="P260" t="inlineStr">
        <is>
          <t>deposited</t>
        </is>
      </c>
      <c r="Q260" t="inlineStr"/>
      <c r="R260" t="inlineStr"/>
      <c r="S260">
        <f>HYPERLINK("https://helical-indexing-hi3d.streamlit.app/?emd_id=emd-4564&amp;rise=4.7&amp;twist=-3.38&amp;csym=1&amp;rise2=4.7&amp;twist2=-3.38&amp;csym2=1", "Link")</f>
        <v/>
      </c>
    </row>
    <row r="261">
      <c r="A261" t="inlineStr">
        <is>
          <t>EMD-18261</t>
        </is>
      </c>
      <c r="B261" t="inlineStr">
        <is>
          <t>amyloid</t>
        </is>
      </c>
      <c r="C261" t="n">
        <v>3.3</v>
      </c>
      <c r="D261" t="n">
        <v>4.77</v>
      </c>
      <c r="E261" t="n">
        <v>-1.23</v>
      </c>
      <c r="F261" t="inlineStr">
        <is>
          <t>C2</t>
        </is>
      </c>
      <c r="G261" t="inlineStr">
        <is>
          <t>4.77</t>
        </is>
      </c>
      <c r="H261" t="n">
        <v>-1.23</v>
      </c>
      <c r="I261" t="inlineStr">
        <is>
          <t>C2</t>
        </is>
      </c>
      <c r="J261" t="n">
        <v>0</v>
      </c>
      <c r="K261" t="inlineStr"/>
      <c r="L261" t="n">
        <v>0.96713</v>
      </c>
      <c r="M261" t="n">
        <v>0.96713</v>
      </c>
      <c r="N261" t="inlineStr">
        <is>
          <t>Yes</t>
        </is>
      </c>
      <c r="O261" t="inlineStr">
        <is>
          <t>equal</t>
        </is>
      </c>
      <c r="P261" t="inlineStr">
        <is>
          <t>deposited</t>
        </is>
      </c>
      <c r="Q261" t="inlineStr"/>
      <c r="R261" t="inlineStr"/>
      <c r="S261">
        <f>HYPERLINK("https://helical-indexing-hi3d.streamlit.app/?emd_id=emd-18261&amp;rise=4.77&amp;twist=-1.23&amp;csym=2&amp;rise2=4.77&amp;twist2=-1.23&amp;csym2=2", "Link")</f>
        <v/>
      </c>
    </row>
    <row r="262">
      <c r="A262" t="inlineStr">
        <is>
          <t>EMD-33903</t>
        </is>
      </c>
      <c r="B262" t="inlineStr">
        <is>
          <t>amyloid</t>
        </is>
      </c>
      <c r="C262" t="n">
        <v>3.3</v>
      </c>
      <c r="D262" t="n">
        <v>2.35</v>
      </c>
      <c r="E262" t="n">
        <v>179.41</v>
      </c>
      <c r="F262" t="inlineStr">
        <is>
          <t>C1</t>
        </is>
      </c>
      <c r="G262" t="inlineStr">
        <is>
          <t>2.35</t>
        </is>
      </c>
      <c r="H262" t="n">
        <v>179.41</v>
      </c>
      <c r="I262" t="inlineStr">
        <is>
          <t>C1</t>
        </is>
      </c>
      <c r="J262" t="n">
        <v>0</v>
      </c>
      <c r="K262" t="inlineStr"/>
      <c r="L262" t="n">
        <v>0.75806</v>
      </c>
      <c r="M262" t="n">
        <v>0.75806</v>
      </c>
      <c r="N262" t="inlineStr">
        <is>
          <t>Yes</t>
        </is>
      </c>
      <c r="O262" t="inlineStr">
        <is>
          <t>equal</t>
        </is>
      </c>
      <c r="P262" t="inlineStr">
        <is>
          <t>deposited</t>
        </is>
      </c>
      <c r="Q262" t="inlineStr"/>
      <c r="R262" t="inlineStr"/>
      <c r="S262">
        <f>HYPERLINK("https://helical-indexing-hi3d.streamlit.app/?emd_id=emd-33903&amp;rise=2.35&amp;twist=179.41&amp;csym=1&amp;rise2=2.35&amp;twist2=179.41&amp;csym2=1", "Link")</f>
        <v/>
      </c>
    </row>
    <row r="263">
      <c r="A263" t="inlineStr">
        <is>
          <t>EMD-20328</t>
        </is>
      </c>
      <c r="B263" t="inlineStr">
        <is>
          <t>amyloid</t>
        </is>
      </c>
      <c r="C263" t="n">
        <v>3.3</v>
      </c>
      <c r="D263" t="n">
        <v>4.81</v>
      </c>
      <c r="E263" t="n">
        <v>0.97</v>
      </c>
      <c r="F263" t="inlineStr">
        <is>
          <t>C1</t>
        </is>
      </c>
      <c r="G263" t="inlineStr">
        <is>
          <t>4.816</t>
        </is>
      </c>
      <c r="H263" t="n">
        <v>-0.981</v>
      </c>
      <c r="I263" t="inlineStr">
        <is>
          <t>C1</t>
        </is>
      </c>
      <c r="J263" t="n">
        <v>0.4405074685371415</v>
      </c>
      <c r="K263" t="inlineStr">
        <is>
          <t>z -&gt; x</t>
        </is>
      </c>
      <c r="L263" t="n">
        <v>0.25208</v>
      </c>
      <c r="M263" t="n">
        <v>0.9817900000000001</v>
      </c>
      <c r="N263" t="inlineStr">
        <is>
          <t>Yes</t>
        </is>
      </c>
      <c r="O263" t="inlineStr">
        <is>
          <t>improve</t>
        </is>
      </c>
      <c r="P263" t="inlineStr">
        <is>
          <t>twist sign</t>
        </is>
      </c>
      <c r="Q263" t="inlineStr"/>
      <c r="R263" t="inlineStr"/>
      <c r="S263">
        <f>HYPERLINK("https://helical-indexing-hi3d.streamlit.app/?emd_id=emd-20328&amp;rise=4.816&amp;twist=-0.981&amp;csym=1&amp;rise2=4.81&amp;twist2=0.97&amp;csym2=1", "Link")</f>
        <v/>
      </c>
    </row>
    <row r="264">
      <c r="A264" t="inlineStr">
        <is>
          <t>EMD-26664</t>
        </is>
      </c>
      <c r="B264" t="inlineStr">
        <is>
          <t>amyloid</t>
        </is>
      </c>
      <c r="C264" t="n">
        <v>3.3</v>
      </c>
      <c r="D264" t="n">
        <v>2.4</v>
      </c>
      <c r="E264" t="n">
        <v>179.47</v>
      </c>
      <c r="F264" t="inlineStr">
        <is>
          <t>C1</t>
        </is>
      </c>
      <c r="G264" t="inlineStr">
        <is>
          <t>2.4</t>
        </is>
      </c>
      <c r="H264" t="n">
        <v>179.47</v>
      </c>
      <c r="I264" t="inlineStr">
        <is>
          <t>C1</t>
        </is>
      </c>
      <c r="J264" t="n">
        <v>0</v>
      </c>
      <c r="K264" t="inlineStr"/>
      <c r="L264" t="n">
        <v>0.99477</v>
      </c>
      <c r="M264" t="n">
        <v>0.99477</v>
      </c>
      <c r="N264" t="inlineStr">
        <is>
          <t>Yes</t>
        </is>
      </c>
      <c r="O264" t="inlineStr">
        <is>
          <t>equal</t>
        </is>
      </c>
      <c r="P264" t="inlineStr">
        <is>
          <t>deposited</t>
        </is>
      </c>
      <c r="Q264" t="inlineStr"/>
      <c r="R264" t="inlineStr"/>
      <c r="S264">
        <f>HYPERLINK("https://helical-indexing-hi3d.streamlit.app/?emd_id=emd-26664&amp;rise=2.4&amp;twist=179.47&amp;csym=1&amp;rise2=2.4&amp;twist2=179.47&amp;csym2=1", "Link")</f>
        <v/>
      </c>
    </row>
    <row r="265">
      <c r="A265" t="inlineStr">
        <is>
          <t>EMD-35090</t>
        </is>
      </c>
      <c r="B265" t="inlineStr">
        <is>
          <t>amyloid</t>
        </is>
      </c>
      <c r="C265" t="n">
        <v>3.3</v>
      </c>
      <c r="D265" t="n">
        <v>2.41</v>
      </c>
      <c r="E265" t="n">
        <v>179.33</v>
      </c>
      <c r="F265" t="inlineStr">
        <is>
          <t>C1</t>
        </is>
      </c>
      <c r="G265" t="inlineStr">
        <is>
          <t>2.41</t>
        </is>
      </c>
      <c r="H265" t="n">
        <v>179.33</v>
      </c>
      <c r="I265" t="inlineStr">
        <is>
          <t>C1</t>
        </is>
      </c>
      <c r="J265" t="n">
        <v>0</v>
      </c>
      <c r="K265" t="inlineStr"/>
      <c r="L265" t="n">
        <v>0.95039</v>
      </c>
      <c r="M265" t="n">
        <v>0.95039</v>
      </c>
      <c r="N265" t="inlineStr">
        <is>
          <t>Yes</t>
        </is>
      </c>
      <c r="O265" t="inlineStr">
        <is>
          <t>equal</t>
        </is>
      </c>
      <c r="P265" t="inlineStr">
        <is>
          <t>deposited</t>
        </is>
      </c>
      <c r="Q265" t="inlineStr"/>
      <c r="R265" t="inlineStr"/>
      <c r="S265">
        <f>HYPERLINK("https://helical-indexing-hi3d.streamlit.app/?emd_id=emd-35090&amp;rise=2.41&amp;twist=179.33&amp;csym=1&amp;rise2=2.41&amp;twist2=179.33&amp;csym2=1", "Link")</f>
        <v/>
      </c>
    </row>
    <row r="266">
      <c r="A266" t="inlineStr">
        <is>
          <t>EMD-14726</t>
        </is>
      </c>
      <c r="B266" t="inlineStr">
        <is>
          <t>amyloid</t>
        </is>
      </c>
      <c r="C266" t="n">
        <v>3.3</v>
      </c>
      <c r="D266" t="n">
        <v>4.9043</v>
      </c>
      <c r="E266" t="n">
        <v>-1.29627</v>
      </c>
      <c r="F266" t="inlineStr">
        <is>
          <t>C2</t>
        </is>
      </c>
      <c r="G266" t="inlineStr">
        <is>
          <t>4.9043</t>
        </is>
      </c>
      <c r="H266" t="n">
        <v>-1.29627</v>
      </c>
      <c r="I266" t="inlineStr">
        <is>
          <t>C2</t>
        </is>
      </c>
      <c r="J266" t="n">
        <v>0</v>
      </c>
      <c r="K266" t="inlineStr">
        <is>
          <t>z -&gt; x</t>
        </is>
      </c>
      <c r="L266" t="n">
        <v>0.91095</v>
      </c>
      <c r="M266" t="n">
        <v>0.91095</v>
      </c>
      <c r="N266" t="inlineStr">
        <is>
          <t>Yes</t>
        </is>
      </c>
      <c r="O266" t="inlineStr">
        <is>
          <t>equal</t>
        </is>
      </c>
      <c r="P266" t="inlineStr">
        <is>
          <t>deposited</t>
        </is>
      </c>
      <c r="Q266" t="inlineStr"/>
      <c r="R266" t="inlineStr"/>
      <c r="S266">
        <f>HYPERLINK("https://helical-indexing-hi3d.streamlit.app/?emd_id=emd-14726&amp;rise=4.9043&amp;twist=-1.29627&amp;csym=2&amp;rise2=4.9043&amp;twist2=-1.29627&amp;csym2=2", "Link")</f>
        <v/>
      </c>
    </row>
    <row r="267">
      <c r="A267" t="inlineStr">
        <is>
          <t>EMD-4452</t>
        </is>
      </c>
      <c r="B267" t="inlineStr">
        <is>
          <t>amyloid</t>
        </is>
      </c>
      <c r="C267" t="n">
        <v>3.3</v>
      </c>
      <c r="D267" t="n">
        <v>4.81</v>
      </c>
      <c r="E267" t="n">
        <v>0.58</v>
      </c>
      <c r="F267" t="inlineStr">
        <is>
          <t>C1</t>
        </is>
      </c>
      <c r="G267" t="inlineStr">
        <is>
          <t>4.82924</t>
        </is>
      </c>
      <c r="H267" t="n">
        <v>0.57536</v>
      </c>
      <c r="I267" t="inlineStr">
        <is>
          <t>C1</t>
        </is>
      </c>
      <c r="J267" t="n">
        <v>0.0193282061764047</v>
      </c>
      <c r="K267" t="inlineStr">
        <is>
          <t> </t>
        </is>
      </c>
      <c r="L267" t="n">
        <v>0.75021</v>
      </c>
      <c r="M267" t="n">
        <v>0.75107</v>
      </c>
      <c r="N267" t="inlineStr">
        <is>
          <t>Yes</t>
        </is>
      </c>
      <c r="O267" t="inlineStr">
        <is>
          <t>improve</t>
        </is>
      </c>
      <c r="P267" t="inlineStr">
        <is>
          <t>adjusted decimals</t>
        </is>
      </c>
      <c r="Q267" t="inlineStr"/>
      <c r="R267" t="inlineStr"/>
      <c r="S267">
        <f>HYPERLINK("https://helical-indexing-hi3d.streamlit.app/?emd_id=emd-4452&amp;rise=4.82924&amp;twist=0.57536&amp;csym=1&amp;rise2=4.81&amp;twist2=0.58&amp;csym2=1", "Link")</f>
        <v/>
      </c>
    </row>
    <row r="268">
      <c r="A268" t="inlineStr">
        <is>
          <t>EMD-0334</t>
        </is>
      </c>
      <c r="B268" t="inlineStr">
        <is>
          <t>amyloid</t>
        </is>
      </c>
      <c r="C268" t="n">
        <v>3.3</v>
      </c>
      <c r="D268" t="n">
        <v>2.405438</v>
      </c>
      <c r="E268" t="n">
        <v>179.35648</v>
      </c>
      <c r="F268" t="inlineStr">
        <is>
          <t>C1</t>
        </is>
      </c>
      <c r="G268" t="inlineStr">
        <is>
          <t>2.405438</t>
        </is>
      </c>
      <c r="H268" t="n">
        <v>179.35648</v>
      </c>
      <c r="I268" t="inlineStr">
        <is>
          <t>C1</t>
        </is>
      </c>
      <c r="J268" t="n">
        <v>0</v>
      </c>
      <c r="K268" t="inlineStr">
        <is>
          <t>z -&gt; x</t>
        </is>
      </c>
      <c r="L268" t="n">
        <v>0.98956</v>
      </c>
      <c r="M268" t="n">
        <v>0.98956</v>
      </c>
      <c r="N268" t="inlineStr">
        <is>
          <t>Yes</t>
        </is>
      </c>
      <c r="O268" t="inlineStr">
        <is>
          <t>equal</t>
        </is>
      </c>
      <c r="P268" t="inlineStr">
        <is>
          <t>deposited</t>
        </is>
      </c>
      <c r="Q268" t="inlineStr"/>
      <c r="R268" t="inlineStr"/>
      <c r="S268">
        <f>HYPERLINK("https://helical-indexing-hi3d.streamlit.app/?emd_id=emd-0334&amp;rise=2.405438&amp;twist=179.35648&amp;csym=1&amp;rise2=2.405438&amp;twist2=179.35648&amp;csym2=1", "Link")</f>
        <v/>
      </c>
    </row>
    <row r="269">
      <c r="A269" t="inlineStr">
        <is>
          <t>EMD-13123</t>
        </is>
      </c>
      <c r="B269" t="inlineStr">
        <is>
          <t>amyloid</t>
        </is>
      </c>
      <c r="C269" t="n">
        <v>3.3</v>
      </c>
      <c r="D269" t="n">
        <v>4.68</v>
      </c>
      <c r="E269" t="n">
        <v>-0.78</v>
      </c>
      <c r="F269" t="inlineStr">
        <is>
          <t>C2</t>
        </is>
      </c>
      <c r="G269" t="inlineStr">
        <is>
          <t>4.68</t>
        </is>
      </c>
      <c r="H269" t="n">
        <v>-0.78</v>
      </c>
      <c r="I269" t="inlineStr">
        <is>
          <t>C2</t>
        </is>
      </c>
      <c r="J269" t="n">
        <v>0</v>
      </c>
      <c r="K269" t="inlineStr"/>
      <c r="L269" t="n">
        <v>0.95363</v>
      </c>
      <c r="M269" t="n">
        <v>0.95363</v>
      </c>
      <c r="N269" t="inlineStr">
        <is>
          <t>Yes</t>
        </is>
      </c>
      <c r="O269" t="inlineStr">
        <is>
          <t>equal</t>
        </is>
      </c>
      <c r="P269" t="inlineStr">
        <is>
          <t>deposited</t>
        </is>
      </c>
      <c r="Q269" t="inlineStr"/>
      <c r="R269" t="inlineStr"/>
      <c r="S269">
        <f>HYPERLINK("https://helical-indexing-hi3d.streamlit.app/?emd_id=emd-13123&amp;rise=4.68&amp;twist=-0.78&amp;csym=2&amp;rise2=4.68&amp;twist2=-0.78&amp;csym2=2", "Link")</f>
        <v/>
      </c>
    </row>
    <row r="270">
      <c r="A270" t="inlineStr">
        <is>
          <t>EMD-16959</t>
        </is>
      </c>
      <c r="B270" t="inlineStr">
        <is>
          <t>amyloid</t>
        </is>
      </c>
      <c r="C270" t="n">
        <v>3.3</v>
      </c>
      <c r="D270" t="n">
        <v>4.66</v>
      </c>
      <c r="E270" t="n">
        <v>-2.78</v>
      </c>
      <c r="F270" t="inlineStr">
        <is>
          <t>C2</t>
        </is>
      </c>
      <c r="G270" t="inlineStr">
        <is>
          <t>4.66</t>
        </is>
      </c>
      <c r="H270" t="n">
        <v>-2.78</v>
      </c>
      <c r="I270" t="inlineStr">
        <is>
          <t>C2</t>
        </is>
      </c>
      <c r="J270" t="n">
        <v>0</v>
      </c>
      <c r="K270" t="inlineStr"/>
      <c r="L270" t="n">
        <v>0.94015</v>
      </c>
      <c r="M270" t="n">
        <v>0.94015</v>
      </c>
      <c r="N270" t="inlineStr">
        <is>
          <t>Yes</t>
        </is>
      </c>
      <c r="O270" t="inlineStr">
        <is>
          <t>equal</t>
        </is>
      </c>
      <c r="P270" t="inlineStr">
        <is>
          <t>deposited</t>
        </is>
      </c>
      <c r="Q270" t="inlineStr"/>
      <c r="R270" t="inlineStr"/>
      <c r="S270">
        <f>HYPERLINK("https://helical-indexing-hi3d.streamlit.app/?emd_id=emd-16959&amp;rise=4.66&amp;twist=-2.78&amp;csym=2&amp;rise2=4.66&amp;twist2=-2.78&amp;csym2=2", "Link")</f>
        <v/>
      </c>
    </row>
    <row r="271">
      <c r="A271" t="inlineStr">
        <is>
          <t>EMD-31707</t>
        </is>
      </c>
      <c r="B271" t="inlineStr">
        <is>
          <t>amyloid</t>
        </is>
      </c>
      <c r="C271" t="n">
        <v>3.3</v>
      </c>
      <c r="D271" t="n">
        <v>4.8</v>
      </c>
      <c r="E271" t="n">
        <v>-3.06</v>
      </c>
      <c r="F271" t="inlineStr">
        <is>
          <t>C1</t>
        </is>
      </c>
      <c r="G271" t="inlineStr">
        <is>
          <t>4.8</t>
        </is>
      </c>
      <c r="H271" t="n">
        <v>-3.06</v>
      </c>
      <c r="I271" t="inlineStr">
        <is>
          <t>C1</t>
        </is>
      </c>
      <c r="J271" t="n">
        <v>0</v>
      </c>
      <c r="K271" t="inlineStr"/>
      <c r="L271" t="n">
        <v>0.9344</v>
      </c>
      <c r="M271" t="n">
        <v>0.9344</v>
      </c>
      <c r="N271" t="inlineStr">
        <is>
          <t>Yes</t>
        </is>
      </c>
      <c r="O271" t="inlineStr">
        <is>
          <t>equal</t>
        </is>
      </c>
      <c r="P271" t="inlineStr">
        <is>
          <t>deposited</t>
        </is>
      </c>
      <c r="Q271" t="inlineStr"/>
      <c r="R271" t="inlineStr"/>
      <c r="S271">
        <f>HYPERLINK("https://helical-indexing-hi3d.streamlit.app/?emd_id=emd-31707&amp;rise=4.8&amp;twist=-3.06&amp;csym=1&amp;rise2=4.8&amp;twist2=-3.06&amp;csym2=1", "Link")</f>
        <v/>
      </c>
    </row>
    <row r="272">
      <c r="A272" t="inlineStr">
        <is>
          <t>EMD-26587</t>
        </is>
      </c>
      <c r="B272" t="inlineStr">
        <is>
          <t>amyloid</t>
        </is>
      </c>
      <c r="C272" t="n">
        <v>3.31</v>
      </c>
      <c r="D272" t="n">
        <v>4.75</v>
      </c>
      <c r="E272" t="n">
        <v>-1.25</v>
      </c>
      <c r="F272" t="inlineStr">
        <is>
          <t>C1</t>
        </is>
      </c>
      <c r="G272" t="inlineStr">
        <is>
          <t>4.75</t>
        </is>
      </c>
      <c r="H272" t="n">
        <v>-1.25</v>
      </c>
      <c r="I272" t="inlineStr">
        <is>
          <t>C1</t>
        </is>
      </c>
      <c r="J272" t="n">
        <v>0</v>
      </c>
      <c r="K272" t="inlineStr"/>
      <c r="L272" t="n">
        <v>0.95219</v>
      </c>
      <c r="M272" t="n">
        <v>0.95219</v>
      </c>
      <c r="N272" t="inlineStr">
        <is>
          <t>Yes</t>
        </is>
      </c>
      <c r="O272" t="inlineStr">
        <is>
          <t>equal</t>
        </is>
      </c>
      <c r="P272" t="inlineStr">
        <is>
          <t>deposited</t>
        </is>
      </c>
      <c r="Q272" t="inlineStr"/>
      <c r="R272" t="inlineStr"/>
      <c r="S272">
        <f>HYPERLINK("https://helical-indexing-hi3d.streamlit.app/?emd_id=emd-26587&amp;rise=4.75&amp;twist=-1.25&amp;csym=1&amp;rise2=4.75&amp;twist2=-1.25&amp;csym2=1", "Link")</f>
        <v/>
      </c>
    </row>
    <row r="273">
      <c r="A273" t="inlineStr">
        <is>
          <t>EMD-14062</t>
        </is>
      </c>
      <c r="B273" t="inlineStr">
        <is>
          <t>amyloid</t>
        </is>
      </c>
      <c r="C273" t="n">
        <v>3.32</v>
      </c>
      <c r="D273" t="n">
        <v>4.844</v>
      </c>
      <c r="E273" t="n">
        <v>-1.26</v>
      </c>
      <c r="F273" t="inlineStr">
        <is>
          <t>C1</t>
        </is>
      </c>
      <c r="G273" t="inlineStr">
        <is>
          <t>4.844</t>
        </is>
      </c>
      <c r="H273" t="n">
        <v>-1.26</v>
      </c>
      <c r="I273" t="inlineStr">
        <is>
          <t>C1</t>
        </is>
      </c>
      <c r="J273" t="n">
        <v>0</v>
      </c>
      <c r="K273" t="inlineStr"/>
      <c r="L273" t="n">
        <v>0.95258</v>
      </c>
      <c r="M273" t="n">
        <v>0.95258</v>
      </c>
      <c r="N273" t="inlineStr">
        <is>
          <t>Yes</t>
        </is>
      </c>
      <c r="O273" t="inlineStr">
        <is>
          <t>equal</t>
        </is>
      </c>
      <c r="P273" t="inlineStr">
        <is>
          <t>deposited</t>
        </is>
      </c>
      <c r="Q273" t="inlineStr"/>
      <c r="R273" t="inlineStr"/>
      <c r="S273">
        <f>HYPERLINK("https://helical-indexing-hi3d.streamlit.app/?emd_id=emd-14062&amp;rise=4.844&amp;twist=-1.26&amp;csym=1&amp;rise2=4.844&amp;twist2=-1.26&amp;csym2=1", "Link")</f>
        <v/>
      </c>
    </row>
    <row r="274">
      <c r="A274" t="inlineStr">
        <is>
          <t>EMD-13852</t>
        </is>
      </c>
      <c r="B274" t="inlineStr">
        <is>
          <t>amyloid</t>
        </is>
      </c>
      <c r="C274" t="n">
        <v>3.32</v>
      </c>
      <c r="D274" t="n">
        <v>4.68</v>
      </c>
      <c r="E274" t="n">
        <v>-2.33</v>
      </c>
      <c r="F274" t="inlineStr">
        <is>
          <t>C1</t>
        </is>
      </c>
      <c r="G274" t="inlineStr">
        <is>
          <t>4.68</t>
        </is>
      </c>
      <c r="H274" t="n">
        <v>-2.33</v>
      </c>
      <c r="I274" t="inlineStr">
        <is>
          <t>C1</t>
        </is>
      </c>
      <c r="J274" t="n">
        <v>0</v>
      </c>
      <c r="K274" t="inlineStr"/>
      <c r="L274" t="n">
        <v>0.95047</v>
      </c>
      <c r="M274" t="n">
        <v>0.95047</v>
      </c>
      <c r="N274" t="inlineStr">
        <is>
          <t>Yes</t>
        </is>
      </c>
      <c r="O274" t="inlineStr">
        <is>
          <t>equal</t>
        </is>
      </c>
      <c r="P274" t="inlineStr">
        <is>
          <t>deposited</t>
        </is>
      </c>
      <c r="Q274" t="inlineStr"/>
      <c r="R274" t="inlineStr"/>
      <c r="S274">
        <f>HYPERLINK("https://helical-indexing-hi3d.streamlit.app/?emd_id=emd-13852&amp;rise=4.68&amp;twist=-2.33&amp;csym=1&amp;rise2=4.68&amp;twist2=-2.33&amp;csym2=1", "Link")</f>
        <v/>
      </c>
    </row>
    <row r="275">
      <c r="A275" t="inlineStr">
        <is>
          <t>EMD-14739</t>
        </is>
      </c>
      <c r="B275" t="inlineStr">
        <is>
          <t>amyloid</t>
        </is>
      </c>
      <c r="C275" t="n">
        <v>3.32</v>
      </c>
      <c r="D275" t="n">
        <v>2.37</v>
      </c>
      <c r="E275" t="n">
        <v>179.05</v>
      </c>
      <c r="F275" t="inlineStr">
        <is>
          <t>C1</t>
        </is>
      </c>
      <c r="G275" t="inlineStr">
        <is>
          <t>2.37</t>
        </is>
      </c>
      <c r="H275" t="n">
        <v>179.05</v>
      </c>
      <c r="I275" t="inlineStr">
        <is>
          <t>C1</t>
        </is>
      </c>
      <c r="J275" t="n">
        <v>0</v>
      </c>
      <c r="K275" t="inlineStr"/>
      <c r="L275" t="n">
        <v>0.75144</v>
      </c>
      <c r="M275" t="n">
        <v>0.75144</v>
      </c>
      <c r="N275" t="inlineStr">
        <is>
          <t>Yes</t>
        </is>
      </c>
      <c r="O275" t="inlineStr">
        <is>
          <t>equal</t>
        </is>
      </c>
      <c r="P275" t="inlineStr">
        <is>
          <t>deposited</t>
        </is>
      </c>
      <c r="Q275" t="inlineStr"/>
      <c r="R275" t="inlineStr"/>
      <c r="S275">
        <f>HYPERLINK("https://helical-indexing-hi3d.streamlit.app/?emd_id=emd-14739&amp;rise=2.37&amp;twist=179.05&amp;csym=1&amp;rise2=2.37&amp;twist2=179.05&amp;csym2=1", "Link")</f>
        <v/>
      </c>
    </row>
    <row r="276">
      <c r="A276" t="inlineStr">
        <is>
          <t>EMD-14060</t>
        </is>
      </c>
      <c r="B276" t="inlineStr">
        <is>
          <t>amyloid</t>
        </is>
      </c>
      <c r="C276" t="n">
        <v>3.34</v>
      </c>
      <c r="D276" t="n">
        <v>4.74</v>
      </c>
      <c r="E276" t="n">
        <v>-1.25</v>
      </c>
      <c r="F276" t="inlineStr">
        <is>
          <t>C1</t>
        </is>
      </c>
      <c r="G276" t="inlineStr">
        <is>
          <t>4.74</t>
        </is>
      </c>
      <c r="H276" t="n">
        <v>-1.25</v>
      </c>
      <c r="I276" t="inlineStr">
        <is>
          <t>C1</t>
        </is>
      </c>
      <c r="J276" t="n">
        <v>0</v>
      </c>
      <c r="K276" t="inlineStr"/>
      <c r="L276" t="n">
        <v>0.93257</v>
      </c>
      <c r="M276" t="n">
        <v>0.93257</v>
      </c>
      <c r="N276" t="inlineStr">
        <is>
          <t>Yes</t>
        </is>
      </c>
      <c r="O276" t="inlineStr">
        <is>
          <t>equal</t>
        </is>
      </c>
      <c r="P276" t="inlineStr">
        <is>
          <t>deposited</t>
        </is>
      </c>
      <c r="Q276" t="inlineStr"/>
      <c r="R276" t="inlineStr"/>
      <c r="S276">
        <f>HYPERLINK("https://helical-indexing-hi3d.streamlit.app/?emd_id=emd-14060&amp;rise=4.74&amp;twist=-1.25&amp;csym=1&amp;rise2=4.74&amp;twist2=-1.25&amp;csym2=1", "Link")</f>
        <v/>
      </c>
    </row>
    <row r="277">
      <c r="A277" t="inlineStr">
        <is>
          <t>EMD-18448</t>
        </is>
      </c>
      <c r="B277" t="inlineStr">
        <is>
          <t>amyloid</t>
        </is>
      </c>
      <c r="C277" t="n">
        <v>3.35</v>
      </c>
      <c r="D277" t="n">
        <v>4.78</v>
      </c>
      <c r="E277" t="n">
        <v>-1.19</v>
      </c>
      <c r="F277" t="inlineStr">
        <is>
          <t>C1</t>
        </is>
      </c>
      <c r="G277" t="inlineStr">
        <is>
          <t>2.38</t>
        </is>
      </c>
      <c r="H277" t="n">
        <v>179.4</v>
      </c>
      <c r="I277" t="inlineStr">
        <is>
          <t>C1</t>
        </is>
      </c>
      <c r="J277" t="n">
        <v>57.38683256453139</v>
      </c>
      <c r="K277" t="inlineStr">
        <is>
          <t> </t>
        </is>
      </c>
      <c r="L277" t="n">
        <v>0.94645</v>
      </c>
      <c r="M277" t="n">
        <v>0.94645</v>
      </c>
      <c r="N277" t="inlineStr">
        <is>
          <t>Yes</t>
        </is>
      </c>
      <c r="O277" t="inlineStr">
        <is>
          <t>equal</t>
        </is>
      </c>
      <c r="P277" t="inlineStr">
        <is>
          <t>different</t>
        </is>
      </c>
      <c r="Q277" t="inlineStr">
        <is>
          <t>partial symmetry</t>
        </is>
      </c>
      <c r="R277" t="inlineStr"/>
      <c r="S277">
        <f>HYPERLINK("https://helical-indexing-hi3d.streamlit.app/?emd_id=emd-18448&amp;rise=2.38&amp;twist=179.4&amp;csym=1&amp;rise2=4.78&amp;twist2=-1.19&amp;csym2=1", "Link")</f>
        <v/>
      </c>
    </row>
    <row r="278">
      <c r="A278" t="inlineStr">
        <is>
          <t>EMD-14041</t>
        </is>
      </c>
      <c r="B278" t="inlineStr">
        <is>
          <t>amyloid</t>
        </is>
      </c>
      <c r="C278" t="n">
        <v>3.36</v>
      </c>
      <c r="D278" t="n">
        <v>4.79</v>
      </c>
      <c r="E278" t="n">
        <v>-1.18</v>
      </c>
      <c r="F278" t="inlineStr">
        <is>
          <t>C1</t>
        </is>
      </c>
      <c r="G278" t="inlineStr">
        <is>
          <t>4.79</t>
        </is>
      </c>
      <c r="H278" t="n">
        <v>-1.18</v>
      </c>
      <c r="I278" t="inlineStr">
        <is>
          <t>C1</t>
        </is>
      </c>
      <c r="J278" t="n">
        <v>0</v>
      </c>
      <c r="K278" t="inlineStr"/>
      <c r="L278" t="n">
        <v>0.95325</v>
      </c>
      <c r="M278" t="n">
        <v>0.95325</v>
      </c>
      <c r="N278" t="inlineStr">
        <is>
          <t>Yes</t>
        </is>
      </c>
      <c r="O278" t="inlineStr">
        <is>
          <t>equal</t>
        </is>
      </c>
      <c r="P278" t="inlineStr">
        <is>
          <t>deposited</t>
        </is>
      </c>
      <c r="Q278" t="inlineStr"/>
      <c r="R278" t="inlineStr"/>
      <c r="S278">
        <f>HYPERLINK("https://helical-indexing-hi3d.streamlit.app/?emd_id=emd-14041&amp;rise=4.79&amp;twist=-1.18&amp;csym=1&amp;rise2=4.79&amp;twist2=-1.18&amp;csym2=1", "Link")</f>
        <v/>
      </c>
    </row>
    <row r="279">
      <c r="A279" t="inlineStr">
        <is>
          <t>EMD-13854</t>
        </is>
      </c>
      <c r="B279" t="inlineStr">
        <is>
          <t>amyloid</t>
        </is>
      </c>
      <c r="C279" t="n">
        <v>3.37</v>
      </c>
      <c r="D279" t="n">
        <v>2.37</v>
      </c>
      <c r="E279" t="n">
        <v>178.49</v>
      </c>
      <c r="F279" t="inlineStr">
        <is>
          <t>C1</t>
        </is>
      </c>
      <c r="G279" t="inlineStr">
        <is>
          <t>2.37</t>
        </is>
      </c>
      <c r="H279" t="n">
        <v>178.49</v>
      </c>
      <c r="I279" t="inlineStr">
        <is>
          <t>C1</t>
        </is>
      </c>
      <c r="J279" t="n">
        <v>0</v>
      </c>
      <c r="K279" t="inlineStr"/>
      <c r="L279" t="n">
        <v>0.91694</v>
      </c>
      <c r="M279" t="n">
        <v>0.91694</v>
      </c>
      <c r="N279" t="inlineStr">
        <is>
          <t>Yes</t>
        </is>
      </c>
      <c r="O279" t="inlineStr">
        <is>
          <t>equal</t>
        </is>
      </c>
      <c r="P279" t="inlineStr">
        <is>
          <t>deposited</t>
        </is>
      </c>
      <c r="Q279" t="inlineStr"/>
      <c r="R279" t="inlineStr"/>
      <c r="S279">
        <f>HYPERLINK("https://helical-indexing-hi3d.streamlit.app/?emd_id=emd-13854&amp;rise=2.37&amp;twist=178.49&amp;csym=1&amp;rise2=2.37&amp;twist2=178.49&amp;csym2=1", "Link")</f>
        <v/>
      </c>
    </row>
    <row r="280">
      <c r="A280" t="inlineStr">
        <is>
          <t>EMD-0803</t>
        </is>
      </c>
      <c r="B280" t="inlineStr">
        <is>
          <t>amyloid</t>
        </is>
      </c>
      <c r="C280" t="n">
        <v>3.37</v>
      </c>
      <c r="D280" t="n">
        <v>4.8035</v>
      </c>
      <c r="E280" t="n">
        <v>-0.690334</v>
      </c>
      <c r="F280" t="inlineStr">
        <is>
          <t>C1</t>
        </is>
      </c>
      <c r="G280" t="inlineStr">
        <is>
          <t>4.8035</t>
        </is>
      </c>
      <c r="H280" t="n">
        <v>-0.690334</v>
      </c>
      <c r="I280" t="inlineStr">
        <is>
          <t>C1</t>
        </is>
      </c>
      <c r="J280" t="n">
        <v>0</v>
      </c>
      <c r="K280" t="inlineStr"/>
      <c r="L280" t="n">
        <v>0.9313</v>
      </c>
      <c r="M280" t="n">
        <v>0.9313</v>
      </c>
      <c r="N280" t="inlineStr">
        <is>
          <t>Yes</t>
        </is>
      </c>
      <c r="O280" t="inlineStr">
        <is>
          <t>equal</t>
        </is>
      </c>
      <c r="P280" t="inlineStr">
        <is>
          <t>deposited</t>
        </is>
      </c>
      <c r="Q280" t="inlineStr"/>
      <c r="R280" t="inlineStr"/>
      <c r="S280">
        <f>HYPERLINK("https://helical-indexing-hi3d.streamlit.app/?emd_id=emd-0803&amp;rise=4.8035&amp;twist=-0.690334&amp;csym=1&amp;rise2=4.8035&amp;twist2=-0.690334&amp;csym2=1", "Link")</f>
        <v/>
      </c>
    </row>
    <row r="281">
      <c r="A281" t="inlineStr">
        <is>
          <t>EMD-0833</t>
        </is>
      </c>
      <c r="B281" t="inlineStr">
        <is>
          <t>amyloid</t>
        </is>
      </c>
      <c r="C281" t="n">
        <v>3.37</v>
      </c>
      <c r="D281" t="n">
        <v>2.376</v>
      </c>
      <c r="E281" t="n">
        <v>179.371</v>
      </c>
      <c r="F281" t="inlineStr">
        <is>
          <t>C1</t>
        </is>
      </c>
      <c r="G281" t="inlineStr">
        <is>
          <t>2.366</t>
        </is>
      </c>
      <c r="H281" t="n">
        <v>-179.38</v>
      </c>
      <c r="I281" t="inlineStr">
        <is>
          <t>C1</t>
        </is>
      </c>
      <c r="J281" t="n">
        <v>0.3249501352920171</v>
      </c>
      <c r="K281" t="inlineStr">
        <is>
          <t> </t>
        </is>
      </c>
      <c r="L281" t="n">
        <v>0.36563</v>
      </c>
      <c r="M281" t="n">
        <v>0.93907</v>
      </c>
      <c r="N281" t="inlineStr">
        <is>
          <t>Yes</t>
        </is>
      </c>
      <c r="O281" t="inlineStr">
        <is>
          <t>improve</t>
        </is>
      </c>
      <c r="P281" t="inlineStr">
        <is>
          <t>twist sign</t>
        </is>
      </c>
      <c r="Q281" t="inlineStr"/>
      <c r="R281" t="inlineStr"/>
      <c r="S281">
        <f>HYPERLINK("https://helical-indexing-hi3d.streamlit.app/?emd_id=emd-0833&amp;rise=2.366&amp;twist=-179.38&amp;csym=1&amp;rise2=2.376&amp;twist2=179.371&amp;csym2=1", "Link")</f>
        <v/>
      </c>
    </row>
    <row r="282">
      <c r="A282" t="inlineStr">
        <is>
          <t>EMD-14187</t>
        </is>
      </c>
      <c r="B282" t="inlineStr">
        <is>
          <t>amyloid</t>
        </is>
      </c>
      <c r="C282" t="n">
        <v>3.38</v>
      </c>
      <c r="D282" t="n">
        <v>4.78</v>
      </c>
      <c r="E282" t="n">
        <v>-0.63</v>
      </c>
      <c r="F282" t="inlineStr">
        <is>
          <t>C1</t>
        </is>
      </c>
      <c r="G282" t="inlineStr">
        <is>
          <t>4.78</t>
        </is>
      </c>
      <c r="H282" t="n">
        <v>-0.63</v>
      </c>
      <c r="I282" t="inlineStr">
        <is>
          <t>C1</t>
        </is>
      </c>
      <c r="J282" t="n">
        <v>0</v>
      </c>
      <c r="K282" t="inlineStr"/>
      <c r="L282" t="n">
        <v>0.95694</v>
      </c>
      <c r="M282" t="n">
        <v>0.95694</v>
      </c>
      <c r="N282" t="inlineStr">
        <is>
          <t>Yes</t>
        </is>
      </c>
      <c r="O282" t="inlineStr">
        <is>
          <t>equal</t>
        </is>
      </c>
      <c r="P282" t="inlineStr">
        <is>
          <t>deposited</t>
        </is>
      </c>
      <c r="Q282" t="inlineStr"/>
      <c r="R282" t="inlineStr"/>
      <c r="S282">
        <f>HYPERLINK("https://helical-indexing-hi3d.streamlit.app/?emd_id=emd-14187&amp;rise=4.78&amp;twist=-0.63&amp;csym=1&amp;rise2=4.78&amp;twist2=-0.63&amp;csym2=1", "Link")</f>
        <v/>
      </c>
    </row>
    <row r="283">
      <c r="A283" t="inlineStr">
        <is>
          <t>EMD-25364</t>
        </is>
      </c>
      <c r="B283" t="inlineStr">
        <is>
          <t>amyloid</t>
        </is>
      </c>
      <c r="C283" t="n">
        <v>3.4</v>
      </c>
      <c r="D283" t="n">
        <v>2.4</v>
      </c>
      <c r="E283" t="n">
        <v>178.16</v>
      </c>
      <c r="F283" t="inlineStr">
        <is>
          <t>C1</t>
        </is>
      </c>
      <c r="G283" t="inlineStr">
        <is>
          <t>2.384</t>
        </is>
      </c>
      <c r="H283" t="n">
        <v>179.168</v>
      </c>
      <c r="I283" t="inlineStr">
        <is>
          <t>C1</t>
        </is>
      </c>
      <c r="J283" t="n">
        <v>0.1239442512069548</v>
      </c>
      <c r="K283" t="inlineStr">
        <is>
          <t>z -&gt; x</t>
        </is>
      </c>
      <c r="L283" t="n">
        <v>0.33757</v>
      </c>
      <c r="M283" t="n">
        <v>0.93619</v>
      </c>
      <c r="N283" t="inlineStr">
        <is>
          <t>Yes</t>
        </is>
      </c>
      <c r="O283" t="inlineStr">
        <is>
          <t>improve</t>
        </is>
      </c>
      <c r="P283" t="inlineStr">
        <is>
          <t>adjusted decimals</t>
        </is>
      </c>
      <c r="Q283" t="inlineStr"/>
      <c r="R283" t="inlineStr"/>
      <c r="S283">
        <f>HYPERLINK("https://helical-indexing-hi3d.streamlit.app/?emd_id=emd-25364&amp;rise=2.384&amp;twist=179.168&amp;csym=1&amp;rise2=2.4&amp;twist2=178.16&amp;csym2=1", "Link")</f>
        <v/>
      </c>
    </row>
    <row r="284">
      <c r="A284" t="inlineStr">
        <is>
          <t>EMD-14027</t>
        </is>
      </c>
      <c r="B284" t="inlineStr">
        <is>
          <t>amyloid</t>
        </is>
      </c>
      <c r="C284" t="n">
        <v>3.4</v>
      </c>
      <c r="D284" t="n">
        <v>4.74</v>
      </c>
      <c r="E284" t="n">
        <v>-1.02</v>
      </c>
      <c r="F284" t="inlineStr">
        <is>
          <t>C1</t>
        </is>
      </c>
      <c r="G284" t="inlineStr">
        <is>
          <t>4.74</t>
        </is>
      </c>
      <c r="H284" t="n">
        <v>-1.02</v>
      </c>
      <c r="I284" t="inlineStr">
        <is>
          <t>C1</t>
        </is>
      </c>
      <c r="J284" t="n">
        <v>0</v>
      </c>
      <c r="K284" t="inlineStr"/>
      <c r="L284" t="n">
        <v>0.94973</v>
      </c>
      <c r="M284" t="n">
        <v>0.94973</v>
      </c>
      <c r="N284" t="inlineStr">
        <is>
          <t>Yes</t>
        </is>
      </c>
      <c r="O284" t="inlineStr">
        <is>
          <t>equal</t>
        </is>
      </c>
      <c r="P284" t="inlineStr">
        <is>
          <t>deposited</t>
        </is>
      </c>
      <c r="Q284" t="inlineStr"/>
      <c r="R284" t="inlineStr"/>
      <c r="S284">
        <f>HYPERLINK("https://helical-indexing-hi3d.streamlit.app/?emd_id=emd-14027&amp;rise=4.74&amp;twist=-1.02&amp;csym=1&amp;rise2=4.74&amp;twist2=-1.02&amp;csym2=1", "Link")</f>
        <v/>
      </c>
    </row>
    <row r="285">
      <c r="A285" t="inlineStr">
        <is>
          <t>EMD-13227</t>
        </is>
      </c>
      <c r="B285" t="inlineStr">
        <is>
          <t>amyloid</t>
        </is>
      </c>
      <c r="C285" t="n">
        <v>3.4</v>
      </c>
      <c r="D285" t="n">
        <v>4.8</v>
      </c>
      <c r="E285" t="n">
        <v>-0.4</v>
      </c>
      <c r="F285" t="inlineStr">
        <is>
          <t>C2</t>
        </is>
      </c>
      <c r="G285" t="inlineStr">
        <is>
          <t>4.8</t>
        </is>
      </c>
      <c r="H285" t="n">
        <v>-0.4</v>
      </c>
      <c r="I285" t="inlineStr">
        <is>
          <t>C2</t>
        </is>
      </c>
      <c r="J285" t="n">
        <v>0</v>
      </c>
      <c r="K285" t="inlineStr"/>
      <c r="L285" t="n">
        <v>0.96227</v>
      </c>
      <c r="M285" t="n">
        <v>0.96227</v>
      </c>
      <c r="N285" t="inlineStr">
        <is>
          <t>Yes</t>
        </is>
      </c>
      <c r="O285" t="inlineStr">
        <is>
          <t>equal</t>
        </is>
      </c>
      <c r="P285" t="inlineStr">
        <is>
          <t>deposited</t>
        </is>
      </c>
      <c r="Q285" t="inlineStr"/>
      <c r="R285" t="inlineStr"/>
      <c r="S285">
        <f>HYPERLINK("https://helical-indexing-hi3d.streamlit.app/?emd_id=emd-13227&amp;rise=4.8&amp;twist=-0.4&amp;csym=2&amp;rise2=4.8&amp;twist2=-0.4&amp;csym2=2", "Link")</f>
        <v/>
      </c>
    </row>
    <row r="286">
      <c r="A286" t="inlineStr">
        <is>
          <t>EMD-21410</t>
        </is>
      </c>
      <c r="B286" t="inlineStr">
        <is>
          <t>amyloid</t>
        </is>
      </c>
      <c r="C286" t="n">
        <v>3.4</v>
      </c>
      <c r="D286" t="n">
        <v>2.406</v>
      </c>
      <c r="E286" t="n">
        <v>179.42</v>
      </c>
      <c r="F286" t="inlineStr">
        <is>
          <t>C1</t>
        </is>
      </c>
      <c r="G286" t="inlineStr">
        <is>
          <t>2.406</t>
        </is>
      </c>
      <c r="H286" t="n">
        <v>179.42</v>
      </c>
      <c r="I286" t="inlineStr">
        <is>
          <t>C1</t>
        </is>
      </c>
      <c r="J286" t="n">
        <v>0</v>
      </c>
      <c r="K286" t="inlineStr">
        <is>
          <t>z -&gt; x</t>
        </is>
      </c>
      <c r="L286" t="n">
        <v>0.98267</v>
      </c>
      <c r="M286" t="n">
        <v>0.98267</v>
      </c>
      <c r="N286" t="inlineStr">
        <is>
          <t>Yes</t>
        </is>
      </c>
      <c r="O286" t="inlineStr">
        <is>
          <t>equal</t>
        </is>
      </c>
      <c r="P286" t="inlineStr">
        <is>
          <t>deposited</t>
        </is>
      </c>
      <c r="Q286" t="inlineStr"/>
      <c r="R286" t="inlineStr"/>
      <c r="S286">
        <f>HYPERLINK("https://helical-indexing-hi3d.streamlit.app/?emd_id=emd-21410&amp;rise=2.406&amp;twist=179.42&amp;csym=1&amp;rise2=2.406&amp;twist2=179.42&amp;csym2=1", "Link")</f>
        <v/>
      </c>
    </row>
    <row r="287">
      <c r="A287" t="inlineStr">
        <is>
          <t>EMD-15223</t>
        </is>
      </c>
      <c r="B287" t="inlineStr">
        <is>
          <t>amyloid</t>
        </is>
      </c>
      <c r="C287" t="n">
        <v>3.4</v>
      </c>
      <c r="D287" t="n">
        <v>4.86</v>
      </c>
      <c r="E287" t="n">
        <v>-0.6</v>
      </c>
      <c r="F287" t="inlineStr">
        <is>
          <t>C1</t>
        </is>
      </c>
      <c r="G287" t="inlineStr">
        <is>
          <t>4.86</t>
        </is>
      </c>
      <c r="H287" t="n">
        <v>-0.6</v>
      </c>
      <c r="I287" t="inlineStr">
        <is>
          <t>C1</t>
        </is>
      </c>
      <c r="J287" t="n">
        <v>0</v>
      </c>
      <c r="K287" t="inlineStr"/>
      <c r="L287" t="n">
        <v>0.94858</v>
      </c>
      <c r="M287" t="n">
        <v>0.94858</v>
      </c>
      <c r="N287" t="inlineStr">
        <is>
          <t>Yes</t>
        </is>
      </c>
      <c r="O287" t="inlineStr">
        <is>
          <t>equal</t>
        </is>
      </c>
      <c r="P287" t="inlineStr">
        <is>
          <t>deposited</t>
        </is>
      </c>
      <c r="Q287" t="inlineStr"/>
      <c r="R287" t="inlineStr"/>
      <c r="S287">
        <f>HYPERLINK("https://helical-indexing-hi3d.streamlit.app/?emd_id=emd-15223&amp;rise=4.86&amp;twist=-0.6&amp;csym=1&amp;rise2=4.86&amp;twist2=-0.6&amp;csym2=1", "Link")</f>
        <v/>
      </c>
    </row>
    <row r="288">
      <c r="A288" t="inlineStr">
        <is>
          <t>EMD-26663</t>
        </is>
      </c>
      <c r="B288" t="inlineStr">
        <is>
          <t>amyloid</t>
        </is>
      </c>
      <c r="C288" t="n">
        <v>3.4</v>
      </c>
      <c r="D288" t="n">
        <v>2.4</v>
      </c>
      <c r="E288" t="n">
        <v>179.47</v>
      </c>
      <c r="F288" t="inlineStr">
        <is>
          <t>C1</t>
        </is>
      </c>
      <c r="G288" t="inlineStr">
        <is>
          <t>2.4</t>
        </is>
      </c>
      <c r="H288" t="n">
        <v>179.47</v>
      </c>
      <c r="I288" t="inlineStr">
        <is>
          <t>C1</t>
        </is>
      </c>
      <c r="J288" t="n">
        <v>0</v>
      </c>
      <c r="K288" t="inlineStr"/>
      <c r="L288" t="n">
        <v>0.99518</v>
      </c>
      <c r="M288" t="n">
        <v>0.99518</v>
      </c>
      <c r="N288" t="inlineStr">
        <is>
          <t>Yes</t>
        </is>
      </c>
      <c r="O288" t="inlineStr">
        <is>
          <t>equal</t>
        </is>
      </c>
      <c r="P288" t="inlineStr">
        <is>
          <t>deposited</t>
        </is>
      </c>
      <c r="Q288" t="inlineStr"/>
      <c r="R288" t="inlineStr"/>
      <c r="S288">
        <f>HYPERLINK("https://helical-indexing-hi3d.streamlit.app/?emd_id=emd-26663&amp;rise=2.4&amp;twist=179.47&amp;csym=1&amp;rise2=2.4&amp;twist2=179.47&amp;csym2=1", "Link")</f>
        <v/>
      </c>
    </row>
    <row r="289">
      <c r="A289" t="inlineStr">
        <is>
          <t>EMD-3743</t>
        </is>
      </c>
      <c r="B289" t="inlineStr">
        <is>
          <t>amyloid</t>
        </is>
      </c>
      <c r="C289" t="n">
        <v>3.4</v>
      </c>
      <c r="D289" t="n">
        <v>4.74</v>
      </c>
      <c r="E289" t="n">
        <v>-1.05</v>
      </c>
      <c r="F289" t="inlineStr">
        <is>
          <t>C1</t>
        </is>
      </c>
      <c r="G289" t="inlineStr">
        <is>
          <t>4.72104</t>
        </is>
      </c>
      <c r="H289" t="n">
        <v>-1.05</v>
      </c>
      <c r="I289" t="inlineStr">
        <is>
          <t>C1</t>
        </is>
      </c>
      <c r="J289" t="n">
        <v>0.0189599999999998</v>
      </c>
      <c r="K289" t="inlineStr">
        <is>
          <t> </t>
        </is>
      </c>
      <c r="L289" t="n">
        <v>0.72455</v>
      </c>
      <c r="M289" t="n">
        <v>0.72641</v>
      </c>
      <c r="N289" t="inlineStr">
        <is>
          <t>No</t>
        </is>
      </c>
      <c r="O289" t="inlineStr">
        <is>
          <t>improve</t>
        </is>
      </c>
      <c r="P289" t="inlineStr">
        <is>
          <t>adjusted decimals</t>
        </is>
      </c>
      <c r="Q289" t="inlineStr"/>
      <c r="R289" t="inlineStr"/>
      <c r="S289">
        <f>HYPERLINK("https://helical-indexing-hi3d.streamlit.app/?emd_id=emd-3743&amp;rise=4.72104&amp;twist=-1.05&amp;csym=1&amp;rise2=4.74&amp;twist2=-1.05&amp;csym2=1", "Link")</f>
        <v/>
      </c>
    </row>
    <row r="290">
      <c r="A290" t="inlineStr">
        <is>
          <t>EMD-15730</t>
        </is>
      </c>
      <c r="B290" t="inlineStr">
        <is>
          <t>amyloid</t>
        </is>
      </c>
      <c r="C290" t="n">
        <v>3.4</v>
      </c>
      <c r="D290" t="n">
        <v>4.81</v>
      </c>
      <c r="E290" t="n">
        <v>-1.99</v>
      </c>
      <c r="F290" t="inlineStr">
        <is>
          <t>C1</t>
        </is>
      </c>
      <c r="G290" t="inlineStr">
        <is>
          <t>4.81</t>
        </is>
      </c>
      <c r="H290" t="n">
        <v>-1.99</v>
      </c>
      <c r="I290" t="inlineStr">
        <is>
          <t>C1</t>
        </is>
      </c>
      <c r="J290" t="n">
        <v>0</v>
      </c>
      <c r="K290" t="inlineStr"/>
      <c r="L290" t="n">
        <v>0.9533700000000001</v>
      </c>
      <c r="M290" t="n">
        <v>0.9533700000000001</v>
      </c>
      <c r="N290" t="inlineStr">
        <is>
          <t>Yes</t>
        </is>
      </c>
      <c r="O290" t="inlineStr">
        <is>
          <t>equal</t>
        </is>
      </c>
      <c r="P290" t="inlineStr">
        <is>
          <t>deposited</t>
        </is>
      </c>
      <c r="Q290" t="inlineStr"/>
      <c r="R290" t="inlineStr"/>
      <c r="S290">
        <f>HYPERLINK("https://helical-indexing-hi3d.streamlit.app/?emd_id=emd-15730&amp;rise=4.81&amp;twist=-1.99&amp;csym=1&amp;rise2=4.81&amp;twist2=-1.99&amp;csym2=1", "Link")</f>
        <v/>
      </c>
    </row>
    <row r="291">
      <c r="A291" t="inlineStr">
        <is>
          <t>EMD-15731</t>
        </is>
      </c>
      <c r="B291" t="inlineStr">
        <is>
          <t>amyloid</t>
        </is>
      </c>
      <c r="C291" t="n">
        <v>3.4</v>
      </c>
      <c r="D291" t="n">
        <v>2.4</v>
      </c>
      <c r="E291" t="n">
        <v>179.11</v>
      </c>
      <c r="F291" t="inlineStr">
        <is>
          <t>C1</t>
        </is>
      </c>
      <c r="G291" t="inlineStr">
        <is>
          <t>2.4</t>
        </is>
      </c>
      <c r="H291" t="n">
        <v>179.11</v>
      </c>
      <c r="I291" t="inlineStr">
        <is>
          <t>C1</t>
        </is>
      </c>
      <c r="J291" t="n">
        <v>0</v>
      </c>
      <c r="K291" t="inlineStr"/>
      <c r="L291" t="n">
        <v>0.95485</v>
      </c>
      <c r="M291" t="n">
        <v>0.95485</v>
      </c>
      <c r="N291" t="inlineStr">
        <is>
          <t>Yes</t>
        </is>
      </c>
      <c r="O291" t="inlineStr">
        <is>
          <t>equal</t>
        </is>
      </c>
      <c r="P291" t="inlineStr">
        <is>
          <t>deposited</t>
        </is>
      </c>
      <c r="Q291" t="inlineStr"/>
      <c r="R291" t="inlineStr"/>
      <c r="S291">
        <f>HYPERLINK("https://helical-indexing-hi3d.streamlit.app/?emd_id=emd-15731&amp;rise=2.4&amp;twist=179.11&amp;csym=1&amp;rise2=2.4&amp;twist2=179.11&amp;csym2=1", "Link")</f>
        <v/>
      </c>
    </row>
    <row r="292">
      <c r="A292" t="inlineStr">
        <is>
          <t>EMD-15728</t>
        </is>
      </c>
      <c r="B292" t="inlineStr">
        <is>
          <t>amyloid</t>
        </is>
      </c>
      <c r="C292" t="n">
        <v>3.4</v>
      </c>
      <c r="D292" t="n">
        <v>2.39</v>
      </c>
      <c r="E292" t="n">
        <v>178.77</v>
      </c>
      <c r="F292" t="inlineStr">
        <is>
          <t>C1</t>
        </is>
      </c>
      <c r="G292" t="inlineStr">
        <is>
          <t>2.39</t>
        </is>
      </c>
      <c r="H292" t="n">
        <v>178.77</v>
      </c>
      <c r="I292" t="inlineStr">
        <is>
          <t>C1</t>
        </is>
      </c>
      <c r="J292" t="n">
        <v>0</v>
      </c>
      <c r="K292" t="inlineStr"/>
      <c r="L292" t="n">
        <v>0.9532</v>
      </c>
      <c r="M292" t="n">
        <v>0.9532</v>
      </c>
      <c r="N292" t="inlineStr">
        <is>
          <t>Yes</t>
        </is>
      </c>
      <c r="O292" t="inlineStr">
        <is>
          <t>equal</t>
        </is>
      </c>
      <c r="P292" t="inlineStr">
        <is>
          <t>deposited</t>
        </is>
      </c>
      <c r="Q292" t="inlineStr"/>
      <c r="R292" t="inlineStr"/>
      <c r="S292">
        <f>HYPERLINK("https://helical-indexing-hi3d.streamlit.app/?emd_id=emd-15728&amp;rise=2.39&amp;twist=178.77&amp;csym=1&amp;rise2=2.39&amp;twist2=178.77&amp;csym2=1", "Link")</f>
        <v/>
      </c>
    </row>
    <row r="293">
      <c r="A293" t="inlineStr">
        <is>
          <t>EMD-3741</t>
        </is>
      </c>
      <c r="B293" t="inlineStr">
        <is>
          <t>amyloid</t>
        </is>
      </c>
      <c r="C293" t="n">
        <v>3.4</v>
      </c>
      <c r="D293" t="n">
        <v>2.36</v>
      </c>
      <c r="E293" t="n">
        <v>179.4</v>
      </c>
      <c r="F293" t="inlineStr">
        <is>
          <t>C1</t>
        </is>
      </c>
      <c r="G293" t="inlineStr">
        <is>
          <t>4.577</t>
        </is>
      </c>
      <c r="H293" t="n">
        <v>-1.271</v>
      </c>
      <c r="I293" t="inlineStr">
        <is>
          <t>C1</t>
        </is>
      </c>
      <c r="J293" t="n">
        <v>53.00256990130109</v>
      </c>
      <c r="K293" t="inlineStr">
        <is>
          <t> </t>
        </is>
      </c>
      <c r="L293" t="n">
        <v>0.55345</v>
      </c>
      <c r="M293" t="n">
        <v>0.70261</v>
      </c>
      <c r="N293" t="inlineStr">
        <is>
          <t>Excluded</t>
        </is>
      </c>
      <c r="O293" t="inlineStr"/>
      <c r="P293" t="inlineStr">
        <is>
          <t>xy-shifted</t>
        </is>
      </c>
      <c r="Q293" t="inlineStr"/>
      <c r="R293" t="inlineStr"/>
      <c r="S293">
        <f>HYPERLINK("https://helical-indexing-hi3d.streamlit.app/?emd_id=emd-3741&amp;rise=4.577&amp;twist=-1.271&amp;csym=1&amp;rise2=2.36&amp;twist2=179.4&amp;csym2=1", "Link")</f>
        <v/>
      </c>
    </row>
    <row r="294">
      <c r="A294" t="inlineStr">
        <is>
          <t>EMD-16949</t>
        </is>
      </c>
      <c r="B294" t="inlineStr">
        <is>
          <t>amyloid</t>
        </is>
      </c>
      <c r="C294" t="n">
        <v>3.4</v>
      </c>
      <c r="D294" t="n">
        <v>4.76</v>
      </c>
      <c r="E294" t="n">
        <v>-3.21</v>
      </c>
      <c r="F294" t="inlineStr">
        <is>
          <t>C2</t>
        </is>
      </c>
      <c r="G294" t="inlineStr">
        <is>
          <t>4.76</t>
        </is>
      </c>
      <c r="H294" t="n">
        <v>-3.21</v>
      </c>
      <c r="I294" t="inlineStr">
        <is>
          <t>C2</t>
        </is>
      </c>
      <c r="J294" t="n">
        <v>0</v>
      </c>
      <c r="K294" t="inlineStr"/>
      <c r="L294" t="n">
        <v>0.94209</v>
      </c>
      <c r="M294" t="n">
        <v>0.94209</v>
      </c>
      <c r="N294" t="inlineStr">
        <is>
          <t>Yes</t>
        </is>
      </c>
      <c r="O294" t="inlineStr">
        <is>
          <t>equal</t>
        </is>
      </c>
      <c r="P294" t="inlineStr">
        <is>
          <t>deposited</t>
        </is>
      </c>
      <c r="Q294" t="inlineStr"/>
      <c r="R294" t="inlineStr"/>
      <c r="S294">
        <f>HYPERLINK("https://helical-indexing-hi3d.streamlit.app/?emd_id=emd-16949&amp;rise=4.76&amp;twist=-3.21&amp;csym=2&amp;rise2=4.76&amp;twist2=-3.21&amp;csym2=2", "Link")</f>
        <v/>
      </c>
    </row>
    <row r="295">
      <c r="A295" t="inlineStr">
        <is>
          <t>EMD-32636</t>
        </is>
      </c>
      <c r="B295" t="inlineStr">
        <is>
          <t>amyloid</t>
        </is>
      </c>
      <c r="C295" t="n">
        <v>3.4</v>
      </c>
      <c r="D295" t="n">
        <v>2.37</v>
      </c>
      <c r="E295" t="n">
        <v>179.304</v>
      </c>
      <c r="F295" t="inlineStr">
        <is>
          <t>C1</t>
        </is>
      </c>
      <c r="G295" t="inlineStr">
        <is>
          <t>2.37</t>
        </is>
      </c>
      <c r="H295" t="n">
        <v>179.304</v>
      </c>
      <c r="I295" t="inlineStr">
        <is>
          <t>C1</t>
        </is>
      </c>
      <c r="J295" t="n">
        <v>0</v>
      </c>
      <c r="K295" t="inlineStr"/>
      <c r="L295" t="n">
        <v>0.7589399999999999</v>
      </c>
      <c r="M295" t="n">
        <v>0.7589399999999999</v>
      </c>
      <c r="N295" t="inlineStr">
        <is>
          <t>Yes</t>
        </is>
      </c>
      <c r="O295" t="inlineStr">
        <is>
          <t>equal</t>
        </is>
      </c>
      <c r="P295" t="inlineStr">
        <is>
          <t>deposited</t>
        </is>
      </c>
      <c r="Q295" t="inlineStr"/>
      <c r="R295" t="inlineStr"/>
      <c r="S295">
        <f>HYPERLINK("https://helical-indexing-hi3d.streamlit.app/?emd_id=emd-32636&amp;rise=2.37&amp;twist=179.304&amp;csym=1&amp;rise2=2.37&amp;twist2=179.304&amp;csym2=1", "Link")</f>
        <v/>
      </c>
    </row>
    <row r="296">
      <c r="A296" t="inlineStr">
        <is>
          <t>EMD-0528</t>
        </is>
      </c>
      <c r="B296" t="inlineStr">
        <is>
          <t>amyloid</t>
        </is>
      </c>
      <c r="C296" t="n">
        <v>3.4</v>
      </c>
      <c r="D296" t="n">
        <v>2.37</v>
      </c>
      <c r="E296" t="n">
        <v>179.4</v>
      </c>
      <c r="F296" t="inlineStr">
        <is>
          <t>C2</t>
        </is>
      </c>
      <c r="G296" t="inlineStr">
        <is>
          <t>4.74</t>
        </is>
      </c>
      <c r="H296" t="n">
        <v>-1.22</v>
      </c>
      <c r="I296" t="inlineStr">
        <is>
          <t>C2</t>
        </is>
      </c>
      <c r="J296" t="n">
        <v>2.396007268304529</v>
      </c>
      <c r="K296" t="inlineStr">
        <is>
          <t> </t>
        </is>
      </c>
      <c r="L296" t="n">
        <v>0.63249</v>
      </c>
      <c r="M296" t="n">
        <v>0.78009</v>
      </c>
      <c r="N296" t="inlineStr">
        <is>
          <t>Yes</t>
        </is>
      </c>
      <c r="O296" t="inlineStr">
        <is>
          <t>improve</t>
        </is>
      </c>
      <c r="P296" t="inlineStr">
        <is>
          <t>different</t>
        </is>
      </c>
      <c r="Q296" t="inlineStr">
        <is>
          <t>partial symmetry</t>
        </is>
      </c>
      <c r="R296" t="inlineStr"/>
      <c r="S296">
        <f>HYPERLINK("https://helical-indexing-hi3d.streamlit.app/?emd_id=emd-0528&amp;rise=4.74&amp;twist=-1.22&amp;csym=2&amp;rise2=2.37&amp;twist2=179.4&amp;csym2=2", "Link")</f>
        <v/>
      </c>
    </row>
    <row r="297">
      <c r="A297" t="inlineStr">
        <is>
          <t>EMD-18276</t>
        </is>
      </c>
      <c r="B297" t="inlineStr">
        <is>
          <t>amyloid</t>
        </is>
      </c>
      <c r="C297" t="n">
        <v>3.4</v>
      </c>
      <c r="D297" t="n">
        <v>4.77</v>
      </c>
      <c r="E297" t="n">
        <v>-1.24</v>
      </c>
      <c r="F297" t="inlineStr">
        <is>
          <t>C1</t>
        </is>
      </c>
      <c r="G297" t="inlineStr">
        <is>
          <t>4.74</t>
        </is>
      </c>
      <c r="H297" t="n">
        <v>-1.26</v>
      </c>
      <c r="I297" t="inlineStr">
        <is>
          <t>C1</t>
        </is>
      </c>
      <c r="J297" t="n">
        <v>0.031556759</v>
      </c>
      <c r="K297" t="inlineStr"/>
      <c r="L297" t="n">
        <v>0.87429</v>
      </c>
      <c r="M297" t="n">
        <v>0.96355</v>
      </c>
      <c r="N297" t="inlineStr">
        <is>
          <t>Yes</t>
        </is>
      </c>
      <c r="O297" t="inlineStr">
        <is>
          <t>improve</t>
        </is>
      </c>
      <c r="P297" t="inlineStr">
        <is>
          <t>adjusted decimals</t>
        </is>
      </c>
      <c r="Q297" t="inlineStr"/>
      <c r="R297" t="inlineStr"/>
      <c r="S297">
        <f>HYPERLINK("https://helical-indexing-hi3d.streamlit.app/?emd_id=emd-18276&amp;rise=4.74&amp;twist=-1.26&amp;csym=1&amp;rise2=4.77&amp;twist2=-1.24&amp;csym2=1", "Link")</f>
        <v/>
      </c>
    </row>
    <row r="298">
      <c r="A298" t="inlineStr">
        <is>
          <t>EMD-33054</t>
        </is>
      </c>
      <c r="B298" t="inlineStr">
        <is>
          <t>amyloid</t>
        </is>
      </c>
      <c r="C298" t="n">
        <v>3.4</v>
      </c>
      <c r="D298" t="n">
        <v>4.84</v>
      </c>
      <c r="E298" t="n">
        <v>-0.71</v>
      </c>
      <c r="F298" t="inlineStr">
        <is>
          <t>C1</t>
        </is>
      </c>
      <c r="G298" t="inlineStr">
        <is>
          <t>4.84</t>
        </is>
      </c>
      <c r="H298" t="n">
        <v>-0.71</v>
      </c>
      <c r="I298" t="inlineStr">
        <is>
          <t>C1</t>
        </is>
      </c>
      <c r="J298" t="n">
        <v>0</v>
      </c>
      <c r="K298" t="inlineStr"/>
      <c r="L298" t="n">
        <v>0.95245</v>
      </c>
      <c r="M298" t="n">
        <v>0.95245</v>
      </c>
      <c r="N298" t="inlineStr">
        <is>
          <t>Yes</t>
        </is>
      </c>
      <c r="O298" t="inlineStr">
        <is>
          <t>equal</t>
        </is>
      </c>
      <c r="P298" t="inlineStr">
        <is>
          <t>deposited</t>
        </is>
      </c>
      <c r="Q298" t="inlineStr"/>
      <c r="R298" t="inlineStr"/>
      <c r="S298">
        <f>HYPERLINK("https://helical-indexing-hi3d.streamlit.app/?emd_id=emd-33054&amp;rise=4.84&amp;twist=-0.71&amp;csym=1&amp;rise2=4.84&amp;twist2=-0.71&amp;csym2=1", "Link")</f>
        <v/>
      </c>
    </row>
    <row r="299">
      <c r="A299" t="inlineStr">
        <is>
          <t>EMD-20186</t>
        </is>
      </c>
      <c r="B299" t="inlineStr">
        <is>
          <t>amyloid</t>
        </is>
      </c>
      <c r="C299" t="n">
        <v>3.4</v>
      </c>
      <c r="D299" t="n">
        <v>2.4</v>
      </c>
      <c r="E299" t="n">
        <v>179.321</v>
      </c>
      <c r="F299" t="inlineStr">
        <is>
          <t>C1</t>
        </is>
      </c>
      <c r="G299" t="inlineStr">
        <is>
          <t>2.4</t>
        </is>
      </c>
      <c r="H299" t="n">
        <v>179.321</v>
      </c>
      <c r="I299" t="inlineStr">
        <is>
          <t>C1</t>
        </is>
      </c>
      <c r="J299" t="n">
        <v>0</v>
      </c>
      <c r="K299" t="inlineStr"/>
      <c r="L299" t="n">
        <v>0.79787</v>
      </c>
      <c r="M299" t="n">
        <v>0.79787</v>
      </c>
      <c r="N299" t="inlineStr">
        <is>
          <t>Yes</t>
        </is>
      </c>
      <c r="O299" t="inlineStr">
        <is>
          <t>equal</t>
        </is>
      </c>
      <c r="P299" t="inlineStr">
        <is>
          <t>deposited</t>
        </is>
      </c>
      <c r="Q299" t="inlineStr"/>
      <c r="R299" t="inlineStr"/>
      <c r="S299">
        <f>HYPERLINK("https://helical-indexing-hi3d.streamlit.app/?emd_id=emd-20186&amp;rise=2.4&amp;twist=179.321&amp;csym=1&amp;rise2=2.4&amp;twist2=179.321&amp;csym2=1", "Link")</f>
        <v/>
      </c>
    </row>
    <row r="300">
      <c r="A300" t="inlineStr">
        <is>
          <t>EMD-31704</t>
        </is>
      </c>
      <c r="B300" t="inlineStr">
        <is>
          <t>amyloid</t>
        </is>
      </c>
      <c r="C300" t="n">
        <v>3.4</v>
      </c>
      <c r="D300" t="n">
        <v>4.84</v>
      </c>
      <c r="E300" t="n">
        <v>-1.24</v>
      </c>
      <c r="F300" t="inlineStr">
        <is>
          <t>C1</t>
        </is>
      </c>
      <c r="G300" t="inlineStr">
        <is>
          <t>4.84</t>
        </is>
      </c>
      <c r="H300" t="n">
        <v>-1.24</v>
      </c>
      <c r="I300" t="inlineStr">
        <is>
          <t>C1</t>
        </is>
      </c>
      <c r="J300" t="n">
        <v>0</v>
      </c>
      <c r="K300" t="inlineStr"/>
      <c r="L300" t="n">
        <v>0.95436</v>
      </c>
      <c r="M300" t="n">
        <v>0.95436</v>
      </c>
      <c r="N300" t="inlineStr">
        <is>
          <t>Yes</t>
        </is>
      </c>
      <c r="O300" t="inlineStr">
        <is>
          <t>equal</t>
        </is>
      </c>
      <c r="P300" t="inlineStr">
        <is>
          <t>deposited</t>
        </is>
      </c>
      <c r="Q300" t="inlineStr"/>
      <c r="R300" t="inlineStr"/>
      <c r="S300">
        <f>HYPERLINK("https://helical-indexing-hi3d.streamlit.app/?emd_id=emd-31704&amp;rise=4.84&amp;twist=-1.24&amp;csym=1&amp;rise2=4.84&amp;twist2=-1.24&amp;csym2=1", "Link")</f>
        <v/>
      </c>
    </row>
    <row r="301">
      <c r="A301" t="inlineStr">
        <is>
          <t>EMD-0148</t>
        </is>
      </c>
      <c r="B301" t="inlineStr">
        <is>
          <t>amyloid</t>
        </is>
      </c>
      <c r="C301" t="n">
        <v>3.4</v>
      </c>
      <c r="D301" t="n">
        <v>2.45</v>
      </c>
      <c r="E301" t="n">
        <v>179.5</v>
      </c>
      <c r="F301" t="inlineStr">
        <is>
          <t>C1</t>
        </is>
      </c>
      <c r="G301" t="inlineStr">
        <is>
          <t>2.45</t>
        </is>
      </c>
      <c r="H301" t="n">
        <v>179.5</v>
      </c>
      <c r="I301" t="inlineStr">
        <is>
          <t>C1</t>
        </is>
      </c>
      <c r="J301" t="n">
        <v>0</v>
      </c>
      <c r="K301" t="inlineStr"/>
      <c r="L301" t="n">
        <v>0.87747</v>
      </c>
      <c r="M301" t="n">
        <v>0.87747</v>
      </c>
      <c r="N301" t="inlineStr">
        <is>
          <t>Yes</t>
        </is>
      </c>
      <c r="O301" t="inlineStr">
        <is>
          <t>equal</t>
        </is>
      </c>
      <c r="P301" t="inlineStr">
        <is>
          <t>deposited</t>
        </is>
      </c>
      <c r="Q301" t="inlineStr"/>
      <c r="R301" t="inlineStr"/>
      <c r="S301">
        <f>HYPERLINK("https://helical-indexing-hi3d.streamlit.app/?emd_id=emd-0148&amp;rise=2.45&amp;twist=179.5&amp;csym=1&amp;rise2=2.45&amp;twist2=179.5&amp;csym2=1", "Link")</f>
        <v/>
      </c>
    </row>
    <row r="302">
      <c r="A302" t="inlineStr">
        <is>
          <t>EMD-11030</t>
        </is>
      </c>
      <c r="B302" t="inlineStr">
        <is>
          <t>amyloid</t>
        </is>
      </c>
      <c r="C302" t="n">
        <v>3.4</v>
      </c>
      <c r="D302" t="n">
        <v>4.8</v>
      </c>
      <c r="E302" t="n">
        <v>-1.1</v>
      </c>
      <c r="F302" t="inlineStr">
        <is>
          <t>C1</t>
        </is>
      </c>
      <c r="G302" t="inlineStr">
        <is>
          <t>4.8</t>
        </is>
      </c>
      <c r="H302" t="n">
        <v>-1.1176</v>
      </c>
      <c r="I302" t="inlineStr">
        <is>
          <t>C1</t>
        </is>
      </c>
      <c r="J302" t="n">
        <v>0.005340045</v>
      </c>
      <c r="K302" t="inlineStr">
        <is>
          <t>z -&gt; x</t>
        </is>
      </c>
      <c r="L302" t="n">
        <v>0.71201</v>
      </c>
      <c r="M302" t="n">
        <v>0.71208</v>
      </c>
      <c r="N302" t="inlineStr">
        <is>
          <t>No</t>
        </is>
      </c>
      <c r="O302" t="inlineStr">
        <is>
          <t>improve</t>
        </is>
      </c>
      <c r="P302" t="inlineStr">
        <is>
          <t>adjusted decimals</t>
        </is>
      </c>
      <c r="Q302" t="inlineStr"/>
      <c r="R302" t="inlineStr"/>
      <c r="S302">
        <f>HYPERLINK("https://helical-indexing-hi3d.streamlit.app/?emd_id=emd-11030&amp;rise=4.8&amp;twist=-1.1176&amp;csym=1&amp;rise2=4.8&amp;twist2=-1.1&amp;csym2=1", "Link")</f>
        <v/>
      </c>
    </row>
    <row r="303">
      <c r="A303" t="inlineStr">
        <is>
          <t>EMD-10305</t>
        </is>
      </c>
      <c r="B303" t="inlineStr">
        <is>
          <t>amyloid</t>
        </is>
      </c>
      <c r="C303" t="n">
        <v>3.4</v>
      </c>
      <c r="D303" t="n">
        <v>4.8</v>
      </c>
      <c r="E303" t="n">
        <v>-0.73</v>
      </c>
      <c r="F303" t="inlineStr">
        <is>
          <t>C2</t>
        </is>
      </c>
      <c r="G303" t="inlineStr">
        <is>
          <t>2.4</t>
        </is>
      </c>
      <c r="H303" t="n">
        <v>179.67</v>
      </c>
      <c r="I303" t="inlineStr">
        <is>
          <t>C1</t>
        </is>
      </c>
      <c r="J303" t="n">
        <v>2.427059885763024</v>
      </c>
      <c r="K303" t="inlineStr"/>
      <c r="L303" t="n">
        <v>0.48935</v>
      </c>
      <c r="M303" t="n">
        <v>0.79156</v>
      </c>
      <c r="N303" t="inlineStr">
        <is>
          <t>Yes</t>
        </is>
      </c>
      <c r="O303" t="inlineStr">
        <is>
          <t>improve</t>
        </is>
      </c>
      <c r="P303" t="inlineStr">
        <is>
          <t>different</t>
        </is>
      </c>
      <c r="Q303" t="inlineStr">
        <is>
          <t>partial symmetry</t>
        </is>
      </c>
      <c r="R303" t="inlineStr"/>
      <c r="S303">
        <f>HYPERLINK("https://helical-indexing-hi3d.streamlit.app/?emd_id=emd-10305&amp;rise=2.4&amp;twist=179.67&amp;csym=1&amp;rise2=4.8&amp;twist2=-0.73&amp;csym2=2", "Link")</f>
        <v/>
      </c>
    </row>
    <row r="304">
      <c r="A304" t="inlineStr">
        <is>
          <t>EMD-4727</t>
        </is>
      </c>
      <c r="B304" t="inlineStr">
        <is>
          <t>amyloid</t>
        </is>
      </c>
      <c r="C304" t="n">
        <v>3.4</v>
      </c>
      <c r="D304" t="n">
        <v>2.3548</v>
      </c>
      <c r="E304" t="n">
        <v>179.436</v>
      </c>
      <c r="F304" t="inlineStr">
        <is>
          <t>C1</t>
        </is>
      </c>
      <c r="G304" t="inlineStr">
        <is>
          <t>2.3548</t>
        </is>
      </c>
      <c r="H304" t="n">
        <v>179.436</v>
      </c>
      <c r="I304" t="inlineStr">
        <is>
          <t>C1</t>
        </is>
      </c>
      <c r="J304" t="n">
        <v>0</v>
      </c>
      <c r="K304" t="inlineStr"/>
      <c r="L304" t="n">
        <v>0.92237</v>
      </c>
      <c r="M304" t="n">
        <v>0.92237</v>
      </c>
      <c r="N304" t="inlineStr">
        <is>
          <t>Yes</t>
        </is>
      </c>
      <c r="O304" t="inlineStr">
        <is>
          <t>equal</t>
        </is>
      </c>
      <c r="P304" t="inlineStr">
        <is>
          <t>deposited</t>
        </is>
      </c>
      <c r="Q304" t="inlineStr"/>
      <c r="R304" t="inlineStr"/>
      <c r="S304">
        <f>HYPERLINK("https://helical-indexing-hi3d.streamlit.app/?emd_id=emd-4727&amp;rise=2.3548&amp;twist=179.436&amp;csym=1&amp;rise2=2.3548&amp;twist2=179.436&amp;csym2=1", "Link")</f>
        <v/>
      </c>
    </row>
    <row r="305">
      <c r="A305" t="inlineStr">
        <is>
          <t>EMD-12265</t>
        </is>
      </c>
      <c r="B305" t="inlineStr">
        <is>
          <t>amyloid</t>
        </is>
      </c>
      <c r="C305" t="n">
        <v>3.43</v>
      </c>
      <c r="D305" t="n">
        <v>4.75</v>
      </c>
      <c r="E305" t="n">
        <v>-0.95</v>
      </c>
      <c r="F305" t="inlineStr">
        <is>
          <t>C2</t>
        </is>
      </c>
      <c r="G305" t="inlineStr">
        <is>
          <t>4.655</t>
        </is>
      </c>
      <c r="H305" t="n">
        <v>-1.039</v>
      </c>
      <c r="I305" t="inlineStr">
        <is>
          <t>C2</t>
        </is>
      </c>
      <c r="J305" t="n">
        <v>0.09870140500000001</v>
      </c>
      <c r="K305" t="inlineStr"/>
      <c r="L305" t="n">
        <v>0.62244</v>
      </c>
      <c r="M305" t="n">
        <v>0.6147</v>
      </c>
      <c r="N305" t="inlineStr">
        <is>
          <t>Excluded</t>
        </is>
      </c>
      <c r="O305" t="inlineStr"/>
      <c r="P305" t="inlineStr">
        <is>
          <t>z-shifted</t>
        </is>
      </c>
      <c r="Q305" t="inlineStr"/>
      <c r="R305" t="inlineStr"/>
      <c r="S305">
        <f>HYPERLINK("https://helical-indexing-hi3d.streamlit.app/?emd_id=emd-12265&amp;rise=4.655&amp;twist=-1.039&amp;csym=2&amp;rise2=4.75&amp;twist2=-0.95&amp;csym2=2", "Link")</f>
        <v/>
      </c>
    </row>
    <row r="306">
      <c r="A306" t="inlineStr">
        <is>
          <t>EMD-26691</t>
        </is>
      </c>
      <c r="B306" t="inlineStr">
        <is>
          <t>amyloid</t>
        </is>
      </c>
      <c r="C306" t="n">
        <v>3.43</v>
      </c>
      <c r="D306" t="n">
        <v>4.79</v>
      </c>
      <c r="E306" t="n">
        <v>-1.26</v>
      </c>
      <c r="F306" t="inlineStr">
        <is>
          <t>C1</t>
        </is>
      </c>
      <c r="G306" t="inlineStr">
        <is>
          <t>4.78</t>
        </is>
      </c>
      <c r="H306" t="n">
        <v>-1.3</v>
      </c>
      <c r="I306" t="inlineStr">
        <is>
          <t>C1</t>
        </is>
      </c>
      <c r="J306" t="n">
        <v>0.0157537256854683</v>
      </c>
      <c r="K306" t="inlineStr"/>
      <c r="L306" t="n">
        <v>0.9299500000000001</v>
      </c>
      <c r="M306" t="n">
        <v>0.93413</v>
      </c>
      <c r="N306" t="inlineStr">
        <is>
          <t>Yes</t>
        </is>
      </c>
      <c r="O306" t="inlineStr">
        <is>
          <t>improve</t>
        </is>
      </c>
      <c r="P306" t="inlineStr">
        <is>
          <t>adjusted decimals</t>
        </is>
      </c>
      <c r="Q306" t="inlineStr"/>
      <c r="R306" t="inlineStr"/>
      <c r="S306">
        <f>HYPERLINK("https://helical-indexing-hi3d.streamlit.app/?emd_id=emd-26691&amp;rise=4.78&amp;twist=-1.3&amp;csym=1&amp;rise2=4.79&amp;twist2=-1.26&amp;csym2=1", "Link")</f>
        <v/>
      </c>
    </row>
    <row r="307">
      <c r="A307" t="inlineStr">
        <is>
          <t>EMD-33934</t>
        </is>
      </c>
      <c r="B307" t="inlineStr">
        <is>
          <t>amyloid</t>
        </is>
      </c>
      <c r="C307" t="n">
        <v>3.46</v>
      </c>
      <c r="D307" t="n">
        <v>4.8</v>
      </c>
      <c r="E307" t="n">
        <v>179.462</v>
      </c>
      <c r="F307" t="inlineStr">
        <is>
          <t>C1</t>
        </is>
      </c>
      <c r="G307" t="inlineStr">
        <is>
          <t>2.393</t>
        </is>
      </c>
      <c r="H307" t="n">
        <v>179.44</v>
      </c>
      <c r="I307" t="inlineStr">
        <is>
          <t>C1</t>
        </is>
      </c>
      <c r="J307" t="n">
        <v>2.407020231078637</v>
      </c>
      <c r="K307" t="inlineStr">
        <is>
          <t> </t>
        </is>
      </c>
      <c r="L307" t="n">
        <v>0.36996</v>
      </c>
      <c r="M307" t="n">
        <v>0.9378300000000001</v>
      </c>
      <c r="N307" t="inlineStr">
        <is>
          <t>Yes</t>
        </is>
      </c>
      <c r="O307" t="inlineStr">
        <is>
          <t>improve</t>
        </is>
      </c>
      <c r="P307" t="inlineStr">
        <is>
          <t>different</t>
        </is>
      </c>
      <c r="Q307" t="inlineStr">
        <is>
          <t>partial symmetry</t>
        </is>
      </c>
      <c r="R307" t="inlineStr"/>
      <c r="S307">
        <f>HYPERLINK("https://helical-indexing-hi3d.streamlit.app/?emd_id=emd-33934&amp;rise=2.393&amp;twist=179.44&amp;csym=1&amp;rise2=4.8&amp;twist2=179.462&amp;csym2=1", "Link")</f>
        <v/>
      </c>
    </row>
    <row r="308">
      <c r="A308" t="inlineStr">
        <is>
          <t>EMD-4996</t>
        </is>
      </c>
      <c r="B308" t="inlineStr">
        <is>
          <t>amyloid</t>
        </is>
      </c>
      <c r="C308" t="n">
        <v>3.46</v>
      </c>
      <c r="D308" t="n">
        <v>4.91</v>
      </c>
      <c r="E308" t="n">
        <v>-0.73</v>
      </c>
      <c r="F308" t="inlineStr">
        <is>
          <t>C1</t>
        </is>
      </c>
      <c r="G308" t="inlineStr">
        <is>
          <t>4.91</t>
        </is>
      </c>
      <c r="H308" t="n">
        <v>-0.73</v>
      </c>
      <c r="I308" t="inlineStr">
        <is>
          <t>C1</t>
        </is>
      </c>
      <c r="J308" t="n">
        <v>0</v>
      </c>
      <c r="K308" t="inlineStr">
        <is>
          <t> </t>
        </is>
      </c>
      <c r="L308" t="n">
        <v>0.79987</v>
      </c>
      <c r="M308" t="n">
        <v>0.79987</v>
      </c>
      <c r="N308" t="inlineStr">
        <is>
          <t>Yes</t>
        </is>
      </c>
      <c r="O308" t="inlineStr">
        <is>
          <t>equal</t>
        </is>
      </c>
      <c r="P308" t="inlineStr">
        <is>
          <t>deposited</t>
        </is>
      </c>
      <c r="Q308" t="inlineStr"/>
      <c r="R308" t="inlineStr"/>
      <c r="S308">
        <f>HYPERLINK("https://helical-indexing-hi3d.streamlit.app/?emd_id=emd-4996&amp;rise=4.91&amp;twist=-0.73&amp;csym=1&amp;rise2=4.91&amp;twist2=-0.73&amp;csym2=1", "Link")</f>
        <v/>
      </c>
    </row>
    <row r="309">
      <c r="A309" t="inlineStr">
        <is>
          <t>EMD-26685</t>
        </is>
      </c>
      <c r="B309" t="inlineStr">
        <is>
          <t>amyloid</t>
        </is>
      </c>
      <c r="C309" t="n">
        <v>3.47</v>
      </c>
      <c r="D309" t="n">
        <v>4.75</v>
      </c>
      <c r="E309" t="n">
        <v>-1.25</v>
      </c>
      <c r="F309" t="inlineStr">
        <is>
          <t>C1</t>
        </is>
      </c>
      <c r="G309" t="inlineStr">
        <is>
          <t>4.865</t>
        </is>
      </c>
      <c r="H309" t="n">
        <v>-1.566</v>
      </c>
      <c r="I309" t="inlineStr">
        <is>
          <t>C1</t>
        </is>
      </c>
      <c r="J309" t="n">
        <v>0.1513268257090302</v>
      </c>
      <c r="K309" t="inlineStr"/>
      <c r="L309" t="n">
        <v>0.66828</v>
      </c>
      <c r="M309" t="n">
        <v>0.703</v>
      </c>
      <c r="N309" t="inlineStr">
        <is>
          <t>No</t>
        </is>
      </c>
      <c r="O309" t="inlineStr">
        <is>
          <t>improve</t>
        </is>
      </c>
      <c r="P309" t="inlineStr">
        <is>
          <t>different</t>
        </is>
      </c>
      <c r="Q309" t="inlineStr"/>
      <c r="R309" t="inlineStr"/>
      <c r="S309">
        <f>HYPERLINK("https://helical-indexing-hi3d.streamlit.app/?emd_id=emd-26685&amp;rise=4.865&amp;twist=-1.566&amp;csym=1&amp;rise2=4.75&amp;twist2=-1.25&amp;csym2=1", "Link")</f>
        <v/>
      </c>
    </row>
    <row r="310">
      <c r="A310" t="inlineStr">
        <is>
          <t>EMD-14188</t>
        </is>
      </c>
      <c r="B310" t="inlineStr">
        <is>
          <t>amyloid</t>
        </is>
      </c>
      <c r="C310" t="n">
        <v>3.47</v>
      </c>
      <c r="D310" t="n">
        <v>4.79</v>
      </c>
      <c r="E310" t="n">
        <v>-0.49</v>
      </c>
      <c r="F310" t="inlineStr">
        <is>
          <t>C1</t>
        </is>
      </c>
      <c r="G310" t="inlineStr">
        <is>
          <t>4.79</t>
        </is>
      </c>
      <c r="H310" t="n">
        <v>-0.49</v>
      </c>
      <c r="I310" t="inlineStr">
        <is>
          <t>C1</t>
        </is>
      </c>
      <c r="J310" t="n">
        <v>0</v>
      </c>
      <c r="K310" t="inlineStr"/>
      <c r="L310" t="n">
        <v>0.95422</v>
      </c>
      <c r="M310" t="n">
        <v>0.95422</v>
      </c>
      <c r="N310" t="inlineStr">
        <is>
          <t>Yes</t>
        </is>
      </c>
      <c r="O310" t="inlineStr">
        <is>
          <t>equal</t>
        </is>
      </c>
      <c r="P310" t="inlineStr">
        <is>
          <t>deposited</t>
        </is>
      </c>
      <c r="Q310" t="inlineStr"/>
      <c r="R310" t="inlineStr"/>
      <c r="S310">
        <f>HYPERLINK("https://helical-indexing-hi3d.streamlit.app/?emd_id=emd-14188&amp;rise=4.79&amp;twist=-0.49&amp;csym=1&amp;rise2=4.79&amp;twist2=-0.49&amp;csym2=1", "Link")</f>
        <v/>
      </c>
    </row>
    <row r="311">
      <c r="A311" t="inlineStr">
        <is>
          <t>EMD-12264</t>
        </is>
      </c>
      <c r="B311" t="inlineStr">
        <is>
          <t>amyloid</t>
        </is>
      </c>
      <c r="C311" t="n">
        <v>3.47</v>
      </c>
      <c r="D311" t="n">
        <v>4.76</v>
      </c>
      <c r="E311" t="n">
        <v>-1.04</v>
      </c>
      <c r="F311" t="inlineStr">
        <is>
          <t>C2</t>
        </is>
      </c>
      <c r="G311" t="inlineStr">
        <is>
          <t>5.419</t>
        </is>
      </c>
      <c r="H311" t="n">
        <v>-1.181</v>
      </c>
      <c r="I311" t="inlineStr">
        <is>
          <t>C2</t>
        </is>
      </c>
      <c r="J311" t="n">
        <v>0.6598679966893867</v>
      </c>
      <c r="K311" t="inlineStr">
        <is>
          <t> </t>
        </is>
      </c>
      <c r="L311" t="n">
        <v>0.29373</v>
      </c>
      <c r="M311" t="n">
        <v>0.67643</v>
      </c>
      <c r="N311" t="inlineStr">
        <is>
          <t>Excluded</t>
        </is>
      </c>
      <c r="O311" t="inlineStr"/>
      <c r="P311" t="inlineStr">
        <is>
          <t>z-shifted</t>
        </is>
      </c>
      <c r="Q311" t="inlineStr"/>
      <c r="R311" t="inlineStr"/>
      <c r="S311">
        <f>HYPERLINK("https://helical-indexing-hi3d.streamlit.app/?emd_id=emd-12264&amp;rise=5.419&amp;twist=-1.181&amp;csym=2&amp;rise2=4.76&amp;twist2=-1.04&amp;csym2=2", "Link")</f>
        <v/>
      </c>
    </row>
    <row r="312">
      <c r="A312" t="inlineStr">
        <is>
          <t>EMD-0958</t>
        </is>
      </c>
      <c r="B312" t="inlineStr">
        <is>
          <t>amyloid</t>
        </is>
      </c>
      <c r="C312" t="n">
        <v>3.49</v>
      </c>
      <c r="D312" t="n">
        <v>2.42</v>
      </c>
      <c r="E312" t="n">
        <v>179.551</v>
      </c>
      <c r="F312" t="inlineStr">
        <is>
          <t>C1</t>
        </is>
      </c>
      <c r="G312" t="inlineStr">
        <is>
          <t>2.42</t>
        </is>
      </c>
      <c r="H312" t="n">
        <v>179.551</v>
      </c>
      <c r="I312" t="inlineStr">
        <is>
          <t>C1</t>
        </is>
      </c>
      <c r="J312" t="n">
        <v>0</v>
      </c>
      <c r="K312" t="inlineStr"/>
      <c r="L312" t="n">
        <v>0.86036</v>
      </c>
      <c r="M312" t="n">
        <v>0.86036</v>
      </c>
      <c r="N312" t="inlineStr">
        <is>
          <t>Yes</t>
        </is>
      </c>
      <c r="O312" t="inlineStr">
        <is>
          <t>equal</t>
        </is>
      </c>
      <c r="P312" t="inlineStr">
        <is>
          <t>deposited</t>
        </is>
      </c>
      <c r="Q312" t="inlineStr"/>
      <c r="R312" t="inlineStr"/>
      <c r="S312">
        <f>HYPERLINK("https://helical-indexing-hi3d.streamlit.app/?emd_id=emd-0958&amp;rise=2.42&amp;twist=179.551&amp;csym=1&amp;rise2=2.42&amp;twist2=179.551&amp;csym2=1", "Link")</f>
        <v/>
      </c>
    </row>
    <row r="313">
      <c r="A313" t="inlineStr">
        <is>
          <t>EMD-16960</t>
        </is>
      </c>
      <c r="B313" t="inlineStr">
        <is>
          <t>amyloid</t>
        </is>
      </c>
      <c r="C313" t="n">
        <v>3.5</v>
      </c>
      <c r="D313" t="n">
        <v>4.74</v>
      </c>
      <c r="E313" t="n">
        <v>-1.91</v>
      </c>
      <c r="F313" t="inlineStr">
        <is>
          <t>C2</t>
        </is>
      </c>
      <c r="G313" t="inlineStr">
        <is>
          <t>4.74</t>
        </is>
      </c>
      <c r="H313" t="n">
        <v>-1.91</v>
      </c>
      <c r="I313" t="inlineStr">
        <is>
          <t>C2</t>
        </is>
      </c>
      <c r="J313" t="n">
        <v>0</v>
      </c>
      <c r="K313" t="inlineStr"/>
      <c r="L313" t="n">
        <v>0.96424</v>
      </c>
      <c r="M313" t="n">
        <v>0.96424</v>
      </c>
      <c r="N313" t="inlineStr">
        <is>
          <t>Yes</t>
        </is>
      </c>
      <c r="O313" t="inlineStr">
        <is>
          <t>equal</t>
        </is>
      </c>
      <c r="P313" t="inlineStr">
        <is>
          <t>deposited</t>
        </is>
      </c>
      <c r="Q313" t="inlineStr"/>
      <c r="R313" t="inlineStr"/>
      <c r="S313">
        <f>HYPERLINK("https://helical-indexing-hi3d.streamlit.app/?emd_id=emd-16960&amp;rise=4.74&amp;twist=-1.91&amp;csym=2&amp;rise2=4.74&amp;twist2=-1.91&amp;csym2=2", "Link")</f>
        <v/>
      </c>
    </row>
    <row r="314">
      <c r="A314" t="inlineStr">
        <is>
          <t>EMD-7618</t>
        </is>
      </c>
      <c r="B314" t="inlineStr">
        <is>
          <t>amyloid</t>
        </is>
      </c>
      <c r="C314" t="n">
        <v>3.5</v>
      </c>
      <c r="D314" t="n">
        <v>2.4</v>
      </c>
      <c r="E314" t="n">
        <v>179.53</v>
      </c>
      <c r="F314" t="inlineStr">
        <is>
          <t>C1</t>
        </is>
      </c>
      <c r="G314" t="inlineStr">
        <is>
          <t>2.4</t>
        </is>
      </c>
      <c r="H314" t="n">
        <v>179.53</v>
      </c>
      <c r="I314" t="inlineStr">
        <is>
          <t>C1</t>
        </is>
      </c>
      <c r="J314" t="n">
        <v>0</v>
      </c>
      <c r="K314" t="inlineStr"/>
      <c r="L314" t="n">
        <v>0.9946700000000001</v>
      </c>
      <c r="M314" t="n">
        <v>0.9946700000000001</v>
      </c>
      <c r="N314" t="inlineStr">
        <is>
          <t>Yes</t>
        </is>
      </c>
      <c r="O314" t="inlineStr">
        <is>
          <t>equal</t>
        </is>
      </c>
      <c r="P314" t="inlineStr">
        <is>
          <t>deposited</t>
        </is>
      </c>
      <c r="Q314" t="inlineStr"/>
      <c r="R314" t="inlineStr"/>
      <c r="S314">
        <f>HYPERLINK("https://helical-indexing-hi3d.streamlit.app/?emd_id=emd-7618&amp;rise=2.4&amp;twist=179.53&amp;csym=1&amp;rise2=2.4&amp;twist2=179.53&amp;csym2=1", "Link")</f>
        <v/>
      </c>
    </row>
    <row r="315">
      <c r="A315" t="inlineStr">
        <is>
          <t>EMD-4565</t>
        </is>
      </c>
      <c r="B315" t="inlineStr">
        <is>
          <t>amyloid</t>
        </is>
      </c>
      <c r="C315" t="n">
        <v>3.5</v>
      </c>
      <c r="D315" t="n">
        <v>4.7</v>
      </c>
      <c r="E315" t="n">
        <v>-2.03</v>
      </c>
      <c r="F315" t="inlineStr">
        <is>
          <t>C1</t>
        </is>
      </c>
      <c r="G315" t="inlineStr">
        <is>
          <t>4.7</t>
        </is>
      </c>
      <c r="H315" t="n">
        <v>-2.03</v>
      </c>
      <c r="I315" t="inlineStr">
        <is>
          <t>C1</t>
        </is>
      </c>
      <c r="J315" t="n">
        <v>0</v>
      </c>
      <c r="K315" t="inlineStr"/>
      <c r="L315" t="n">
        <v>0.93845</v>
      </c>
      <c r="M315" t="n">
        <v>0.93845</v>
      </c>
      <c r="N315" t="inlineStr">
        <is>
          <t>Yes</t>
        </is>
      </c>
      <c r="O315" t="inlineStr">
        <is>
          <t>equal</t>
        </is>
      </c>
      <c r="P315" t="inlineStr">
        <is>
          <t>deposited</t>
        </is>
      </c>
      <c r="Q315" t="inlineStr"/>
      <c r="R315" t="inlineStr"/>
      <c r="S315">
        <f>HYPERLINK("https://helical-indexing-hi3d.streamlit.app/?emd_id=emd-4565&amp;rise=4.7&amp;twist=-2.03&amp;csym=1&amp;rise2=4.7&amp;twist2=-2.03&amp;csym2=1", "Link")</f>
        <v/>
      </c>
    </row>
    <row r="316">
      <c r="A316" t="inlineStr">
        <is>
          <t>EMD-16944</t>
        </is>
      </c>
      <c r="B316" t="inlineStr">
        <is>
          <t>amyloid</t>
        </is>
      </c>
      <c r="C316" t="n">
        <v>3.5</v>
      </c>
      <c r="D316" t="n">
        <v>4.74</v>
      </c>
      <c r="E316" t="n">
        <v>-1.89</v>
      </c>
      <c r="F316" t="inlineStr">
        <is>
          <t>C2</t>
        </is>
      </c>
      <c r="G316" t="inlineStr">
        <is>
          <t>4.74</t>
        </is>
      </c>
      <c r="H316" t="n">
        <v>-1.89</v>
      </c>
      <c r="I316" t="inlineStr">
        <is>
          <t>C2</t>
        </is>
      </c>
      <c r="J316" t="n">
        <v>0</v>
      </c>
      <c r="K316" t="inlineStr"/>
      <c r="L316" t="n">
        <v>0.96548</v>
      </c>
      <c r="M316" t="n">
        <v>0.96548</v>
      </c>
      <c r="N316" t="inlineStr">
        <is>
          <t>Yes</t>
        </is>
      </c>
      <c r="O316" t="inlineStr">
        <is>
          <t>equal</t>
        </is>
      </c>
      <c r="P316" t="inlineStr">
        <is>
          <t>deposited</t>
        </is>
      </c>
      <c r="Q316" t="inlineStr"/>
      <c r="R316" t="inlineStr"/>
      <c r="S316">
        <f>HYPERLINK("https://helical-indexing-hi3d.streamlit.app/?emd_id=emd-16944&amp;rise=4.74&amp;twist=-1.89&amp;csym=2&amp;rise2=4.74&amp;twist2=-1.89&amp;csym2=2", "Link")</f>
        <v/>
      </c>
    </row>
    <row r="317">
      <c r="A317" t="inlineStr">
        <is>
          <t>EMD-11164</t>
        </is>
      </c>
      <c r="B317" t="inlineStr">
        <is>
          <t>amyloid</t>
        </is>
      </c>
      <c r="C317" t="n">
        <v>3.5</v>
      </c>
      <c r="D317" t="n">
        <v>4.80846</v>
      </c>
      <c r="E317" t="n">
        <v>-1.08807</v>
      </c>
      <c r="F317" t="inlineStr">
        <is>
          <t>C1</t>
        </is>
      </c>
      <c r="G317" t="inlineStr">
        <is>
          <t>4.8853955</t>
        </is>
      </c>
      <c r="H317" t="n">
        <v>-1.0663086</v>
      </c>
      <c r="I317" t="inlineStr">
        <is>
          <t>C1</t>
        </is>
      </c>
      <c r="J317" t="n">
        <v>0.07722169600000001</v>
      </c>
      <c r="K317" t="inlineStr">
        <is>
          <t> </t>
        </is>
      </c>
      <c r="L317" t="n">
        <v>0.49531</v>
      </c>
      <c r="M317" t="n">
        <v>0.50018</v>
      </c>
      <c r="N317" t="inlineStr">
        <is>
          <t>No</t>
        </is>
      </c>
      <c r="O317" t="inlineStr">
        <is>
          <t>improve</t>
        </is>
      </c>
      <c r="P317" t="inlineStr">
        <is>
          <t>adjusted decimals</t>
        </is>
      </c>
      <c r="Q317" t="inlineStr"/>
      <c r="R317" t="inlineStr"/>
      <c r="S317">
        <f>HYPERLINK("https://helical-indexing-hi3d.streamlit.app/?emd_id=emd-11164&amp;rise=4.8853955&amp;twist=-1.0663086&amp;csym=1&amp;rise2=4.80846&amp;twist2=-1.08807&amp;csym2=1", "Link")</f>
        <v/>
      </c>
    </row>
    <row r="318">
      <c r="A318" t="inlineStr">
        <is>
          <t>EMD-16027</t>
        </is>
      </c>
      <c r="B318" t="inlineStr">
        <is>
          <t>amyloid</t>
        </is>
      </c>
      <c r="C318" t="n">
        <v>3.5</v>
      </c>
      <c r="D318" t="n">
        <v>2.46009</v>
      </c>
      <c r="E318" t="n">
        <v>179.347</v>
      </c>
      <c r="F318" t="inlineStr">
        <is>
          <t>C1</t>
        </is>
      </c>
      <c r="G318" t="inlineStr">
        <is>
          <t>2.46009</t>
        </is>
      </c>
      <c r="H318" t="n">
        <v>179.347</v>
      </c>
      <c r="I318" t="inlineStr">
        <is>
          <t>C1</t>
        </is>
      </c>
      <c r="J318" t="n">
        <v>0</v>
      </c>
      <c r="K318" t="inlineStr"/>
      <c r="L318" t="n">
        <v>0.94274</v>
      </c>
      <c r="M318" t="n">
        <v>0.94274</v>
      </c>
      <c r="N318" t="inlineStr">
        <is>
          <t>Yes</t>
        </is>
      </c>
      <c r="O318" t="inlineStr">
        <is>
          <t>equal</t>
        </is>
      </c>
      <c r="P318" t="inlineStr">
        <is>
          <t>deposited</t>
        </is>
      </c>
      <c r="Q318" t="inlineStr"/>
      <c r="R318" t="inlineStr"/>
      <c r="S318">
        <f>HYPERLINK("https://helical-indexing-hi3d.streamlit.app/?emd_id=emd-16027&amp;rise=2.46009&amp;twist=179.347&amp;csym=1&amp;rise2=2.46009&amp;twist2=179.347&amp;csym2=1", "Link")</f>
        <v/>
      </c>
    </row>
    <row r="319">
      <c r="A319" t="inlineStr">
        <is>
          <t>EMD-31708</t>
        </is>
      </c>
      <c r="B319" t="inlineStr">
        <is>
          <t>amyloid</t>
        </is>
      </c>
      <c r="C319" t="n">
        <v>3.5</v>
      </c>
      <c r="D319" t="n">
        <v>2.407</v>
      </c>
      <c r="E319" t="n">
        <v>179.324</v>
      </c>
      <c r="F319" t="inlineStr">
        <is>
          <t>C1</t>
        </is>
      </c>
      <c r="G319" t="inlineStr">
        <is>
          <t>2.407</t>
        </is>
      </c>
      <c r="H319" t="n">
        <v>179.324</v>
      </c>
      <c r="I319" t="inlineStr">
        <is>
          <t>C1</t>
        </is>
      </c>
      <c r="J319" t="n">
        <v>0</v>
      </c>
      <c r="K319" t="inlineStr"/>
      <c r="L319" t="n">
        <v>0.8838</v>
      </c>
      <c r="M319" t="n">
        <v>0.8838</v>
      </c>
      <c r="N319" t="inlineStr">
        <is>
          <t>Yes</t>
        </is>
      </c>
      <c r="O319" t="inlineStr">
        <is>
          <t>equal</t>
        </is>
      </c>
      <c r="P319" t="inlineStr">
        <is>
          <t>deposited</t>
        </is>
      </c>
      <c r="Q319" t="inlineStr"/>
      <c r="R319" t="inlineStr"/>
      <c r="S319">
        <f>HYPERLINK("https://helical-indexing-hi3d.streamlit.app/?emd_id=emd-31708&amp;rise=2.407&amp;twist=179.324&amp;csym=1&amp;rise2=2.407&amp;twist2=179.324&amp;csym2=1", "Link")</f>
        <v/>
      </c>
    </row>
    <row r="320">
      <c r="A320" t="inlineStr">
        <is>
          <t>EMD-26275</t>
        </is>
      </c>
      <c r="B320" t="inlineStr">
        <is>
          <t>amyloid</t>
        </is>
      </c>
      <c r="C320" t="n">
        <v>3.5</v>
      </c>
      <c r="D320" t="n">
        <v>4.8</v>
      </c>
      <c r="E320" t="n">
        <v>-0.4</v>
      </c>
      <c r="F320" t="inlineStr">
        <is>
          <t>C1</t>
        </is>
      </c>
      <c r="G320" t="inlineStr">
        <is>
          <t>4.8</t>
        </is>
      </c>
      <c r="H320" t="n">
        <v>-0.4</v>
      </c>
      <c r="I320" t="inlineStr">
        <is>
          <t>C1</t>
        </is>
      </c>
      <c r="J320" t="n">
        <v>0</v>
      </c>
      <c r="K320" t="inlineStr"/>
      <c r="L320" t="n">
        <v>0.9573199999999999</v>
      </c>
      <c r="M320" t="n">
        <v>0.9573199999999999</v>
      </c>
      <c r="N320" t="inlineStr">
        <is>
          <t>Yes</t>
        </is>
      </c>
      <c r="O320" t="inlineStr">
        <is>
          <t>equal</t>
        </is>
      </c>
      <c r="P320" t="inlineStr">
        <is>
          <t>deposited</t>
        </is>
      </c>
      <c r="Q320" t="inlineStr"/>
      <c r="R320" t="inlineStr"/>
      <c r="S320">
        <f>HYPERLINK("https://helical-indexing-hi3d.streamlit.app/?emd_id=emd-26275&amp;rise=4.8&amp;twist=-0.4&amp;csym=1&amp;rise2=4.8&amp;twist2=-0.4&amp;csym2=1", "Link")</f>
        <v/>
      </c>
    </row>
    <row r="321">
      <c r="A321" t="inlineStr">
        <is>
          <t>EMD-27085</t>
        </is>
      </c>
      <c r="B321" t="inlineStr">
        <is>
          <t>amyloid</t>
        </is>
      </c>
      <c r="C321" t="n">
        <v>3.5</v>
      </c>
      <c r="D321" t="n">
        <v>4.8</v>
      </c>
      <c r="E321" t="n">
        <v>-0.72</v>
      </c>
      <c r="F321" t="inlineStr">
        <is>
          <t>C1</t>
        </is>
      </c>
      <c r="G321" t="inlineStr">
        <is>
          <t>2.33</t>
        </is>
      </c>
      <c r="H321" t="n">
        <v>179.6</v>
      </c>
      <c r="I321" t="inlineStr">
        <is>
          <t>C1</t>
        </is>
      </c>
      <c r="J321" t="n">
        <v>55.60944984779029</v>
      </c>
      <c r="K321" t="inlineStr">
        <is>
          <t> </t>
        </is>
      </c>
      <c r="L321" t="n">
        <v>0.79932</v>
      </c>
      <c r="M321" t="n">
        <v>0.80086</v>
      </c>
      <c r="N321" t="inlineStr">
        <is>
          <t>Yes</t>
        </is>
      </c>
      <c r="O321" t="inlineStr">
        <is>
          <t>improve</t>
        </is>
      </c>
      <c r="P321" t="inlineStr">
        <is>
          <t>different</t>
        </is>
      </c>
      <c r="Q321" t="inlineStr">
        <is>
          <t>partial symmetry</t>
        </is>
      </c>
      <c r="R321" t="inlineStr"/>
      <c r="S321">
        <f>HYPERLINK("https://helical-indexing-hi3d.streamlit.app/?emd_id=emd-27085&amp;rise=2.33&amp;twist=179.6&amp;csym=1&amp;rise2=4.8&amp;twist2=-0.72&amp;csym2=1", "Link")</f>
        <v/>
      </c>
    </row>
    <row r="322">
      <c r="A322" t="inlineStr">
        <is>
          <t>EMD-20900</t>
        </is>
      </c>
      <c r="B322" t="inlineStr">
        <is>
          <t>amyloid</t>
        </is>
      </c>
      <c r="C322" t="n">
        <v>3.5</v>
      </c>
      <c r="D322" t="n">
        <v>2.4</v>
      </c>
      <c r="E322" t="n">
        <v>179.3</v>
      </c>
      <c r="F322" t="inlineStr">
        <is>
          <t>C1</t>
        </is>
      </c>
      <c r="G322" t="inlineStr">
        <is>
          <t>2.4</t>
        </is>
      </c>
      <c r="H322" t="n">
        <v>179.3</v>
      </c>
      <c r="I322" t="inlineStr">
        <is>
          <t>C1</t>
        </is>
      </c>
      <c r="J322" t="n">
        <v>0</v>
      </c>
      <c r="K322" t="inlineStr">
        <is>
          <t>z -&gt; x</t>
        </is>
      </c>
      <c r="L322" t="n">
        <v>0.95479</v>
      </c>
      <c r="M322" t="n">
        <v>0.95479</v>
      </c>
      <c r="N322" t="inlineStr">
        <is>
          <t>Yes</t>
        </is>
      </c>
      <c r="O322" t="inlineStr">
        <is>
          <t>equal</t>
        </is>
      </c>
      <c r="P322" t="inlineStr">
        <is>
          <t>deposited</t>
        </is>
      </c>
      <c r="Q322" t="inlineStr"/>
      <c r="R322" t="inlineStr"/>
      <c r="S322">
        <f>HYPERLINK("https://helical-indexing-hi3d.streamlit.app/?emd_id=emd-20900&amp;rise=2.4&amp;twist=179.3&amp;csym=1&amp;rise2=2.4&amp;twist2=179.3&amp;csym2=1", "Link")</f>
        <v/>
      </c>
    </row>
    <row r="323">
      <c r="A323" t="inlineStr">
        <is>
          <t>EMD-14168</t>
        </is>
      </c>
      <c r="B323" t="inlineStr">
        <is>
          <t>amyloid</t>
        </is>
      </c>
      <c r="C323" t="n">
        <v>3.5</v>
      </c>
      <c r="D323" t="n">
        <v>4.892</v>
      </c>
      <c r="E323" t="n">
        <v>-1.136</v>
      </c>
      <c r="F323" t="inlineStr">
        <is>
          <t>C1</t>
        </is>
      </c>
      <c r="G323" t="inlineStr">
        <is>
          <t>4.892</t>
        </is>
      </c>
      <c r="H323" t="n">
        <v>-1.136</v>
      </c>
      <c r="I323" t="inlineStr">
        <is>
          <t>C1</t>
        </is>
      </c>
      <c r="J323" t="n">
        <v>0</v>
      </c>
      <c r="K323" t="inlineStr"/>
      <c r="L323" t="n">
        <v>0.93159</v>
      </c>
      <c r="M323" t="n">
        <v>0.93159</v>
      </c>
      <c r="N323" t="inlineStr">
        <is>
          <t>Yes</t>
        </is>
      </c>
      <c r="O323" t="inlineStr">
        <is>
          <t>equal</t>
        </is>
      </c>
      <c r="P323" t="inlineStr">
        <is>
          <t>deposited</t>
        </is>
      </c>
      <c r="Q323" t="inlineStr"/>
      <c r="R323" t="inlineStr"/>
      <c r="S323">
        <f>HYPERLINK("https://helical-indexing-hi3d.streamlit.app/?emd_id=emd-14168&amp;rise=4.892&amp;twist=-1.136&amp;csym=1&amp;rise2=4.892&amp;twist2=-1.136&amp;csym2=1", "Link")</f>
        <v/>
      </c>
    </row>
    <row r="324">
      <c r="A324" t="inlineStr">
        <is>
          <t>EMD-12552</t>
        </is>
      </c>
      <c r="B324" t="inlineStr">
        <is>
          <t>amyloid</t>
        </is>
      </c>
      <c r="C324" t="n">
        <v>3.55</v>
      </c>
      <c r="D324" t="n">
        <v>4.75</v>
      </c>
      <c r="E324" t="n">
        <v>-1.02</v>
      </c>
      <c r="F324" t="inlineStr">
        <is>
          <t>C1</t>
        </is>
      </c>
      <c r="G324" t="inlineStr">
        <is>
          <t>4.75</t>
        </is>
      </c>
      <c r="H324" t="n">
        <v>-1.02</v>
      </c>
      <c r="I324" t="inlineStr">
        <is>
          <t>C1</t>
        </is>
      </c>
      <c r="J324" t="n">
        <v>0</v>
      </c>
      <c r="K324" t="inlineStr"/>
      <c r="L324" t="n">
        <v>0.9503200000000001</v>
      </c>
      <c r="M324" t="n">
        <v>0.9503200000000001</v>
      </c>
      <c r="N324" t="inlineStr">
        <is>
          <t>Yes</t>
        </is>
      </c>
      <c r="O324" t="inlineStr">
        <is>
          <t>equal</t>
        </is>
      </c>
      <c r="P324" t="inlineStr">
        <is>
          <t>deposited</t>
        </is>
      </c>
      <c r="Q324" t="inlineStr"/>
      <c r="R324" t="inlineStr"/>
      <c r="S324">
        <f>HYPERLINK("https://helical-indexing-hi3d.streamlit.app/?emd_id=emd-12552&amp;rise=4.75&amp;twist=-1.02&amp;csym=1&amp;rise2=4.75&amp;twist2=-1.02&amp;csym2=1", "Link")</f>
        <v/>
      </c>
    </row>
    <row r="325">
      <c r="A325" t="inlineStr">
        <is>
          <t>EMD-12267</t>
        </is>
      </c>
      <c r="B325" t="inlineStr">
        <is>
          <t>amyloid</t>
        </is>
      </c>
      <c r="C325" t="n">
        <v>3.55</v>
      </c>
      <c r="D325" t="n">
        <v>4.75</v>
      </c>
      <c r="E325" t="n">
        <v>-0.77</v>
      </c>
      <c r="F325" t="inlineStr">
        <is>
          <t>C2</t>
        </is>
      </c>
      <c r="G325" t="inlineStr"/>
      <c r="H325" t="inlineStr"/>
      <c r="I325" t="inlineStr">
        <is>
          <t>C2</t>
        </is>
      </c>
      <c r="J325" t="inlineStr"/>
      <c r="K325" t="inlineStr">
        <is>
          <t> </t>
        </is>
      </c>
      <c r="L325" t="inlineStr"/>
      <c r="M325" t="inlineStr"/>
      <c r="N325" t="inlineStr">
        <is>
          <t>Excluded</t>
        </is>
      </c>
      <c r="O325" t="inlineStr"/>
      <c r="P325" t="inlineStr">
        <is>
          <t>z-shifted</t>
        </is>
      </c>
      <c r="Q325" t="inlineStr"/>
      <c r="R325" t="inlineStr"/>
      <c r="S325">
        <f>HYPERLINK("https://helical-indexing-hi3d.streamlit.app/?emd_id=emd-12267&amp;rise=nan&amp;twist=nan&amp;csym=2&amp;rise2=4.75&amp;twist2=-0.77&amp;csym2=2", "Link")</f>
        <v/>
      </c>
    </row>
    <row r="326">
      <c r="A326" t="inlineStr">
        <is>
          <t>EMD-7619</t>
        </is>
      </c>
      <c r="B326" t="inlineStr">
        <is>
          <t>amyloid</t>
        </is>
      </c>
      <c r="C326" t="n">
        <v>3.6</v>
      </c>
      <c r="D326" t="n">
        <v>2.4</v>
      </c>
      <c r="E326" t="n">
        <v>179.06</v>
      </c>
      <c r="F326" t="inlineStr">
        <is>
          <t>C1</t>
        </is>
      </c>
      <c r="G326" t="inlineStr">
        <is>
          <t>2.4</t>
        </is>
      </c>
      <c r="H326" t="n">
        <v>179.06</v>
      </c>
      <c r="I326" t="inlineStr">
        <is>
          <t>C1</t>
        </is>
      </c>
      <c r="J326" t="n">
        <v>0</v>
      </c>
      <c r="K326" t="inlineStr"/>
      <c r="L326" t="n">
        <v>0.99144</v>
      </c>
      <c r="M326" t="n">
        <v>0.99144</v>
      </c>
      <c r="N326" t="inlineStr">
        <is>
          <t>Yes</t>
        </is>
      </c>
      <c r="O326" t="inlineStr">
        <is>
          <t>equal</t>
        </is>
      </c>
      <c r="P326" t="inlineStr">
        <is>
          <t>deposited</t>
        </is>
      </c>
      <c r="Q326" t="inlineStr"/>
      <c r="R326" t="inlineStr"/>
      <c r="S326">
        <f>HYPERLINK("https://helical-indexing-hi3d.streamlit.app/?emd_id=emd-7619&amp;rise=2.4&amp;twist=179.06&amp;csym=1&amp;rise2=2.4&amp;twist2=179.06&amp;csym2=1", "Link")</f>
        <v/>
      </c>
    </row>
    <row r="327">
      <c r="A327" t="inlineStr">
        <is>
          <t>EMD-20331</t>
        </is>
      </c>
      <c r="B327" t="inlineStr">
        <is>
          <t>amyloid</t>
        </is>
      </c>
      <c r="C327" t="n">
        <v>3.6</v>
      </c>
      <c r="D327" t="n">
        <v>4.82</v>
      </c>
      <c r="E327" t="n">
        <v>-0.83</v>
      </c>
      <c r="F327" t="inlineStr">
        <is>
          <t>C1</t>
        </is>
      </c>
      <c r="G327" t="inlineStr">
        <is>
          <t>4.82</t>
        </is>
      </c>
      <c r="H327" t="n">
        <v>-0.83</v>
      </c>
      <c r="I327" t="inlineStr">
        <is>
          <t>C1</t>
        </is>
      </c>
      <c r="J327" t="n">
        <v>0</v>
      </c>
      <c r="K327" t="inlineStr">
        <is>
          <t>z -&gt; x</t>
        </is>
      </c>
      <c r="L327" t="n">
        <v>0.98006</v>
      </c>
      <c r="M327" t="n">
        <v>0.98006</v>
      </c>
      <c r="N327" t="inlineStr">
        <is>
          <t>Yes</t>
        </is>
      </c>
      <c r="O327" t="inlineStr">
        <is>
          <t>equal</t>
        </is>
      </c>
      <c r="P327" t="inlineStr">
        <is>
          <t>deposited</t>
        </is>
      </c>
      <c r="Q327" t="inlineStr"/>
      <c r="R327" t="inlineStr"/>
      <c r="S327">
        <f>HYPERLINK("https://helical-indexing-hi3d.streamlit.app/?emd_id=emd-20331&amp;rise=4.82&amp;twist=-0.83&amp;csym=1&amp;rise2=4.82&amp;twist2=-0.83&amp;csym2=1", "Link")</f>
        <v/>
      </c>
    </row>
    <row r="328">
      <c r="A328" t="inlineStr">
        <is>
          <t>EMD-11380</t>
        </is>
      </c>
      <c r="B328" t="inlineStr">
        <is>
          <t>amyloid</t>
        </is>
      </c>
      <c r="C328" t="n">
        <v>3.6</v>
      </c>
      <c r="D328" t="n">
        <v>2.43</v>
      </c>
      <c r="E328" t="n">
        <v>178.23</v>
      </c>
      <c r="F328" t="inlineStr">
        <is>
          <t>C1</t>
        </is>
      </c>
      <c r="G328" t="inlineStr">
        <is>
          <t>2.43</t>
        </is>
      </c>
      <c r="H328" t="n">
        <v>178.23</v>
      </c>
      <c r="I328" t="inlineStr">
        <is>
          <t>C1</t>
        </is>
      </c>
      <c r="J328" t="n">
        <v>0</v>
      </c>
      <c r="K328" t="inlineStr"/>
      <c r="L328" t="n">
        <v>0.72804</v>
      </c>
      <c r="M328" t="n">
        <v>0.72804</v>
      </c>
      <c r="N328" t="inlineStr">
        <is>
          <t>No</t>
        </is>
      </c>
      <c r="O328" t="inlineStr">
        <is>
          <t>equal</t>
        </is>
      </c>
      <c r="P328" t="inlineStr">
        <is>
          <t>adjusted decimals</t>
        </is>
      </c>
      <c r="Q328" t="inlineStr"/>
      <c r="R328" t="inlineStr"/>
      <c r="S328">
        <f>HYPERLINK("https://helical-indexing-hi3d.streamlit.app/?emd_id=emd-11380&amp;rise=2.43&amp;twist=178.23&amp;csym=1&amp;rise2=2.43&amp;twist2=178.23&amp;csym2=1", "Link")</f>
        <v/>
      </c>
    </row>
    <row r="329">
      <c r="A329" t="inlineStr">
        <is>
          <t>EMD-33897</t>
        </is>
      </c>
      <c r="B329" t="inlineStr">
        <is>
          <t>amyloid</t>
        </is>
      </c>
      <c r="C329" t="n">
        <v>3.6</v>
      </c>
      <c r="D329" t="n">
        <v>4.75</v>
      </c>
      <c r="E329" t="n">
        <v>-1.22</v>
      </c>
      <c r="F329" t="inlineStr">
        <is>
          <t>C1</t>
        </is>
      </c>
      <c r="G329" t="inlineStr">
        <is>
          <t>4.731</t>
        </is>
      </c>
      <c r="H329" t="n">
        <v>-1.2151201</v>
      </c>
      <c r="I329" t="inlineStr">
        <is>
          <t>C1</t>
        </is>
      </c>
      <c r="J329" t="n">
        <v>0.0190558241222882</v>
      </c>
      <c r="K329" t="inlineStr">
        <is>
          <t> </t>
        </is>
      </c>
      <c r="L329" t="n">
        <v>0.72589</v>
      </c>
      <c r="M329" t="n">
        <v>0.72653</v>
      </c>
      <c r="N329" t="inlineStr">
        <is>
          <t>No</t>
        </is>
      </c>
      <c r="O329" t="inlineStr">
        <is>
          <t>improve</t>
        </is>
      </c>
      <c r="P329" t="inlineStr">
        <is>
          <t>adjusted decimals</t>
        </is>
      </c>
      <c r="Q329" t="inlineStr"/>
      <c r="R329" t="inlineStr"/>
      <c r="S329">
        <f>HYPERLINK("https://helical-indexing-hi3d.streamlit.app/?emd_id=emd-33897&amp;rise=4.731&amp;twist=-1.2151201&amp;csym=1&amp;rise2=4.75&amp;twist2=-1.22&amp;csym2=1", "Link")</f>
        <v/>
      </c>
    </row>
    <row r="330">
      <c r="A330" t="inlineStr">
        <is>
          <t>EMD-14176</t>
        </is>
      </c>
      <c r="B330" t="inlineStr">
        <is>
          <t>amyloid</t>
        </is>
      </c>
      <c r="C330" t="n">
        <v>3.64</v>
      </c>
      <c r="D330" t="n">
        <v>4.78</v>
      </c>
      <c r="E330" t="n">
        <v>-0.41</v>
      </c>
      <c r="F330" t="inlineStr">
        <is>
          <t>C2</t>
        </is>
      </c>
      <c r="G330" t="inlineStr">
        <is>
          <t>4.78</t>
        </is>
      </c>
      <c r="H330" t="n">
        <v>-0.41</v>
      </c>
      <c r="I330" t="inlineStr">
        <is>
          <t>C2</t>
        </is>
      </c>
      <c r="J330" t="n">
        <v>0</v>
      </c>
      <c r="K330" t="inlineStr"/>
      <c r="L330" t="n">
        <v>0.96519</v>
      </c>
      <c r="M330" t="n">
        <v>0.96519</v>
      </c>
      <c r="N330" t="inlineStr">
        <is>
          <t>Yes</t>
        </is>
      </c>
      <c r="O330" t="inlineStr">
        <is>
          <t>equal</t>
        </is>
      </c>
      <c r="P330" t="inlineStr">
        <is>
          <t>deposited</t>
        </is>
      </c>
      <c r="Q330" t="inlineStr"/>
      <c r="R330" t="inlineStr"/>
      <c r="S330">
        <f>HYPERLINK("https://helical-indexing-hi3d.streamlit.app/?emd_id=emd-14176&amp;rise=4.78&amp;twist=-0.41&amp;csym=2&amp;rise2=4.78&amp;twist2=-0.41&amp;csym2=2", "Link")</f>
        <v/>
      </c>
    </row>
    <row r="331">
      <c r="A331" t="inlineStr">
        <is>
          <t>EMD-16535</t>
        </is>
      </c>
      <c r="B331" t="inlineStr">
        <is>
          <t>amyloid</t>
        </is>
      </c>
      <c r="C331" t="n">
        <v>3.7</v>
      </c>
      <c r="D331" t="n">
        <v>2.37</v>
      </c>
      <c r="E331" t="n">
        <v>179.39</v>
      </c>
      <c r="F331" t="inlineStr">
        <is>
          <t>C1</t>
        </is>
      </c>
      <c r="G331" t="inlineStr">
        <is>
          <t>2.38</t>
        </is>
      </c>
      <c r="H331" t="n">
        <v>179.41</v>
      </c>
      <c r="I331" t="inlineStr">
        <is>
          <t>C1</t>
        </is>
      </c>
      <c r="J331" t="n">
        <v>0.0144283121019336</v>
      </c>
      <c r="K331" t="inlineStr"/>
      <c r="L331" t="n">
        <v>0.90785</v>
      </c>
      <c r="M331" t="n">
        <v>0.91555</v>
      </c>
      <c r="N331" t="inlineStr">
        <is>
          <t>Yes</t>
        </is>
      </c>
      <c r="O331" t="inlineStr">
        <is>
          <t>improve</t>
        </is>
      </c>
      <c r="P331" t="inlineStr">
        <is>
          <t>adjusted decimals</t>
        </is>
      </c>
      <c r="Q331" t="inlineStr"/>
      <c r="R331" t="inlineStr"/>
      <c r="S331">
        <f>HYPERLINK("https://helical-indexing-hi3d.streamlit.app/?emd_id=emd-16535&amp;rise=2.38&amp;twist=179.41&amp;csym=1&amp;rise2=2.37&amp;twist2=179.39&amp;csym2=1", "Link")</f>
        <v/>
      </c>
    </row>
    <row r="332">
      <c r="A332" t="inlineStr">
        <is>
          <t>EMD-4566</t>
        </is>
      </c>
      <c r="B332" t="inlineStr">
        <is>
          <t>amyloid</t>
        </is>
      </c>
      <c r="C332" t="n">
        <v>3.7</v>
      </c>
      <c r="D332" t="n">
        <v>4.7</v>
      </c>
      <c r="E332" t="n">
        <v>-1.05</v>
      </c>
      <c r="F332" t="inlineStr">
        <is>
          <t>C1</t>
        </is>
      </c>
      <c r="G332" t="inlineStr">
        <is>
          <t>4.7</t>
        </is>
      </c>
      <c r="H332" t="n">
        <v>-1.05</v>
      </c>
      <c r="I332" t="inlineStr">
        <is>
          <t>C1</t>
        </is>
      </c>
      <c r="J332" t="n">
        <v>0</v>
      </c>
      <c r="K332" t="inlineStr">
        <is>
          <t> </t>
        </is>
      </c>
      <c r="L332" t="n">
        <v>0.9507</v>
      </c>
      <c r="M332" t="n">
        <v>0.9507</v>
      </c>
      <c r="N332" t="inlineStr">
        <is>
          <t>Yes</t>
        </is>
      </c>
      <c r="O332" t="inlineStr">
        <is>
          <t>equal</t>
        </is>
      </c>
      <c r="P332" t="inlineStr">
        <is>
          <t>deposited</t>
        </is>
      </c>
      <c r="Q332" t="inlineStr"/>
      <c r="R332" t="inlineStr"/>
      <c r="S332">
        <f>HYPERLINK("https://helical-indexing-hi3d.streamlit.app/?emd_id=emd-4566&amp;rise=4.7&amp;twist=-1.05&amp;csym=1&amp;rise2=4.7&amp;twist2=-1.05&amp;csym2=1", "Link")</f>
        <v/>
      </c>
    </row>
    <row r="333">
      <c r="A333" t="inlineStr">
        <is>
          <t>EMD-15771</t>
        </is>
      </c>
      <c r="B333" t="inlineStr">
        <is>
          <t>amyloid</t>
        </is>
      </c>
      <c r="C333" t="n">
        <v>3.7</v>
      </c>
      <c r="D333" t="n">
        <v>4.8</v>
      </c>
      <c r="E333" t="n">
        <v>-2.8</v>
      </c>
      <c r="F333" t="inlineStr">
        <is>
          <t>C2</t>
        </is>
      </c>
      <c r="G333" t="inlineStr">
        <is>
          <t>4.8</t>
        </is>
      </c>
      <c r="H333" t="n">
        <v>-2.8</v>
      </c>
      <c r="I333" t="inlineStr">
        <is>
          <t>C2</t>
        </is>
      </c>
      <c r="J333" t="n">
        <v>0</v>
      </c>
      <c r="K333" t="inlineStr"/>
      <c r="L333" t="n">
        <v>0.94877</v>
      </c>
      <c r="M333" t="n">
        <v>0.94877</v>
      </c>
      <c r="N333" t="inlineStr">
        <is>
          <t>Yes</t>
        </is>
      </c>
      <c r="O333" t="inlineStr">
        <is>
          <t>equal</t>
        </is>
      </c>
      <c r="P333" t="inlineStr">
        <is>
          <t>deposited</t>
        </is>
      </c>
      <c r="Q333" t="inlineStr"/>
      <c r="R333" t="inlineStr"/>
      <c r="S333">
        <f>HYPERLINK("https://helical-indexing-hi3d.streamlit.app/?emd_id=emd-15771&amp;rise=4.8&amp;twist=-2.8&amp;csym=2&amp;rise2=4.8&amp;twist2=-2.8&amp;csym2=2", "Link")</f>
        <v/>
      </c>
    </row>
    <row r="334">
      <c r="A334" t="inlineStr">
        <is>
          <t>EMD-13795</t>
        </is>
      </c>
      <c r="B334" t="inlineStr">
        <is>
          <t>amyloid</t>
        </is>
      </c>
      <c r="C334" t="n">
        <v>3.7</v>
      </c>
      <c r="D334" t="n">
        <v>4.83</v>
      </c>
      <c r="E334" t="n">
        <v>-3.09</v>
      </c>
      <c r="F334" t="inlineStr">
        <is>
          <t>C1</t>
        </is>
      </c>
      <c r="G334" t="inlineStr">
        <is>
          <t>4.82</t>
        </is>
      </c>
      <c r="H334" t="n">
        <v>-3.115</v>
      </c>
      <c r="I334" t="inlineStr">
        <is>
          <t>C1</t>
        </is>
      </c>
      <c r="J334" t="n">
        <v>0.0130389768996167</v>
      </c>
      <c r="K334" t="inlineStr"/>
      <c r="L334" t="n">
        <v>0.77628</v>
      </c>
      <c r="M334" t="n">
        <v>0.77689</v>
      </c>
      <c r="N334" t="inlineStr">
        <is>
          <t>Yes</t>
        </is>
      </c>
      <c r="O334" t="inlineStr">
        <is>
          <t>improve</t>
        </is>
      </c>
      <c r="P334" t="inlineStr">
        <is>
          <t>adjusted decimals</t>
        </is>
      </c>
      <c r="Q334" t="inlineStr"/>
      <c r="R334" t="inlineStr"/>
      <c r="S334">
        <f>HYPERLINK("https://helical-indexing-hi3d.streamlit.app/?emd_id=emd-13795&amp;rise=4.82&amp;twist=-3.115&amp;csym=1&amp;rise2=4.83&amp;twist2=-3.09&amp;csym2=1", "Link")</f>
        <v/>
      </c>
    </row>
    <row r="335">
      <c r="A335" t="inlineStr">
        <is>
          <t>EMD-24955</t>
        </is>
      </c>
      <c r="B335" t="inlineStr">
        <is>
          <t>amyloid</t>
        </is>
      </c>
      <c r="C335" t="n">
        <v>3.7</v>
      </c>
      <c r="D335" t="n">
        <v>2.45</v>
      </c>
      <c r="E335" t="n">
        <v>179.79</v>
      </c>
      <c r="F335" t="inlineStr">
        <is>
          <t>C1</t>
        </is>
      </c>
      <c r="G335" t="inlineStr">
        <is>
          <t>2.45</t>
        </is>
      </c>
      <c r="H335" t="n">
        <v>179.79</v>
      </c>
      <c r="I335" t="inlineStr">
        <is>
          <t>C1</t>
        </is>
      </c>
      <c r="J335" t="n">
        <v>0</v>
      </c>
      <c r="K335" t="inlineStr"/>
      <c r="L335" t="n">
        <v>0.99238</v>
      </c>
      <c r="M335" t="n">
        <v>0.99238</v>
      </c>
      <c r="N335" t="inlineStr">
        <is>
          <t>Yes</t>
        </is>
      </c>
      <c r="O335" t="inlineStr">
        <is>
          <t>equal</t>
        </is>
      </c>
      <c r="P335" t="inlineStr">
        <is>
          <t>deposited</t>
        </is>
      </c>
      <c r="Q335" t="inlineStr"/>
      <c r="R335" t="inlineStr"/>
      <c r="S335">
        <f>HYPERLINK("https://helical-indexing-hi3d.streamlit.app/?emd_id=emd-24955&amp;rise=2.45&amp;twist=179.79&amp;csym=1&amp;rise2=2.45&amp;twist2=179.79&amp;csym2=1", "Link")</f>
        <v/>
      </c>
    </row>
    <row r="336">
      <c r="A336" t="inlineStr">
        <is>
          <t>EMD-18215</t>
        </is>
      </c>
      <c r="B336" t="inlineStr">
        <is>
          <t>amyloid</t>
        </is>
      </c>
      <c r="C336" t="n">
        <v>3.72</v>
      </c>
      <c r="D336" t="n">
        <v>4.74</v>
      </c>
      <c r="E336" t="n">
        <v>-1.32</v>
      </c>
      <c r="F336" t="inlineStr">
        <is>
          <t>C1</t>
        </is>
      </c>
      <c r="G336" t="inlineStr">
        <is>
          <t>4.74</t>
        </is>
      </c>
      <c r="H336" t="n">
        <v>-1.32</v>
      </c>
      <c r="I336" t="inlineStr">
        <is>
          <t>C1</t>
        </is>
      </c>
      <c r="J336" t="n">
        <v>0</v>
      </c>
      <c r="K336" t="inlineStr"/>
      <c r="L336" t="n">
        <v>0.96553</v>
      </c>
      <c r="M336" t="n">
        <v>0.96553</v>
      </c>
      <c r="N336" t="inlineStr">
        <is>
          <t>Yes</t>
        </is>
      </c>
      <c r="O336" t="inlineStr">
        <is>
          <t>equal</t>
        </is>
      </c>
      <c r="P336" t="inlineStr">
        <is>
          <t>deposited</t>
        </is>
      </c>
      <c r="Q336" t="inlineStr"/>
      <c r="R336" t="inlineStr"/>
      <c r="S336">
        <f>HYPERLINK("https://helical-indexing-hi3d.streamlit.app/?emd_id=emd-18215&amp;rise=4.74&amp;twist=-1.32&amp;csym=1&amp;rise2=4.74&amp;twist2=-1.32&amp;csym2=1", "Link")</f>
        <v/>
      </c>
    </row>
    <row r="337">
      <c r="A337" t="inlineStr">
        <is>
          <t>EMD-18715</t>
        </is>
      </c>
      <c r="B337" t="inlineStr">
        <is>
          <t>amyloid</t>
        </is>
      </c>
      <c r="C337" t="n">
        <v>3.76</v>
      </c>
      <c r="D337" t="n">
        <v>4.776</v>
      </c>
      <c r="E337" t="n">
        <v>-1.77</v>
      </c>
      <c r="F337" t="inlineStr">
        <is>
          <t>C2</t>
        </is>
      </c>
      <c r="G337" t="inlineStr">
        <is>
          <t>4.776</t>
        </is>
      </c>
      <c r="H337" t="n">
        <v>-1.77</v>
      </c>
      <c r="I337" t="inlineStr">
        <is>
          <t>C2</t>
        </is>
      </c>
      <c r="J337" t="n">
        <v>0</v>
      </c>
      <c r="K337" t="inlineStr"/>
      <c r="L337" t="n">
        <v>0.80338</v>
      </c>
      <c r="M337" t="n">
        <v>0.80338</v>
      </c>
      <c r="N337" t="inlineStr">
        <is>
          <t>Yes</t>
        </is>
      </c>
      <c r="O337" t="inlineStr">
        <is>
          <t>equal</t>
        </is>
      </c>
      <c r="P337" t="inlineStr">
        <is>
          <t>deposited</t>
        </is>
      </c>
      <c r="Q337" t="inlineStr"/>
      <c r="R337" t="inlineStr"/>
      <c r="S337">
        <f>HYPERLINK("https://helical-indexing-hi3d.streamlit.app/?emd_id=emd-18715&amp;rise=4.776&amp;twist=-1.77&amp;csym=2&amp;rise2=4.776&amp;twist2=-1.77&amp;csym2=2", "Link")</f>
        <v/>
      </c>
    </row>
    <row r="338">
      <c r="A338" t="inlineStr">
        <is>
          <t>EMD-23686</t>
        </is>
      </c>
      <c r="B338" t="inlineStr">
        <is>
          <t>amyloid</t>
        </is>
      </c>
      <c r="C338" t="n">
        <v>3.8</v>
      </c>
      <c r="D338" t="n">
        <v>4.81</v>
      </c>
      <c r="E338" t="n">
        <v>-2.94</v>
      </c>
      <c r="F338" t="inlineStr">
        <is>
          <t>C1</t>
        </is>
      </c>
      <c r="G338" t="inlineStr">
        <is>
          <t>4.81</t>
        </is>
      </c>
      <c r="H338" t="n">
        <v>-2.94</v>
      </c>
      <c r="I338" t="inlineStr">
        <is>
          <t>C1</t>
        </is>
      </c>
      <c r="J338" t="n">
        <v>0</v>
      </c>
      <c r="K338" t="inlineStr">
        <is>
          <t>z -&gt; x</t>
        </is>
      </c>
      <c r="L338" t="n">
        <v>0.96279</v>
      </c>
      <c r="M338" t="n">
        <v>0.96279</v>
      </c>
      <c r="N338" t="inlineStr">
        <is>
          <t>Yes</t>
        </is>
      </c>
      <c r="O338" t="inlineStr">
        <is>
          <t>equal</t>
        </is>
      </c>
      <c r="P338" t="inlineStr">
        <is>
          <t>deposited</t>
        </is>
      </c>
      <c r="Q338" t="inlineStr"/>
      <c r="R338" t="inlineStr"/>
      <c r="S338">
        <f>HYPERLINK("https://helical-indexing-hi3d.streamlit.app/?emd_id=emd-23686&amp;rise=4.81&amp;twist=-2.94&amp;csym=1&amp;rise2=4.81&amp;twist2=-2.94&amp;csym2=1", "Link")</f>
        <v/>
      </c>
    </row>
    <row r="339">
      <c r="A339" t="inlineStr">
        <is>
          <t>EMD-26665</t>
        </is>
      </c>
      <c r="B339" t="inlineStr">
        <is>
          <t>amyloid</t>
        </is>
      </c>
      <c r="C339" t="n">
        <v>3.8</v>
      </c>
      <c r="D339" t="n">
        <v>2.4</v>
      </c>
      <c r="E339" t="n">
        <v>179.46</v>
      </c>
      <c r="F339" t="inlineStr">
        <is>
          <t>C1</t>
        </is>
      </c>
      <c r="G339" t="inlineStr">
        <is>
          <t>2.4</t>
        </is>
      </c>
      <c r="H339" t="n">
        <v>179.46</v>
      </c>
      <c r="I339" t="inlineStr">
        <is>
          <t>C1</t>
        </is>
      </c>
      <c r="J339" t="n">
        <v>0</v>
      </c>
      <c r="K339" t="inlineStr"/>
      <c r="L339" t="n">
        <v>0.9869</v>
      </c>
      <c r="M339" t="n">
        <v>0.9869</v>
      </c>
      <c r="N339" t="inlineStr">
        <is>
          <t>Yes</t>
        </is>
      </c>
      <c r="O339" t="inlineStr">
        <is>
          <t>equal</t>
        </is>
      </c>
      <c r="P339" t="inlineStr">
        <is>
          <t>deposited</t>
        </is>
      </c>
      <c r="Q339" t="inlineStr"/>
      <c r="R339" t="inlineStr"/>
      <c r="S339">
        <f>HYPERLINK("https://helical-indexing-hi3d.streamlit.app/?emd_id=emd-26665&amp;rise=2.4&amp;twist=179.46&amp;csym=1&amp;rise2=2.4&amp;twist2=179.46&amp;csym2=1", "Link")</f>
        <v/>
      </c>
    </row>
    <row r="340">
      <c r="A340" t="inlineStr">
        <is>
          <t>EMD-16952</t>
        </is>
      </c>
      <c r="B340" t="inlineStr">
        <is>
          <t>amyloid</t>
        </is>
      </c>
      <c r="C340" t="n">
        <v>3.8</v>
      </c>
      <c r="D340" t="n">
        <v>4.78</v>
      </c>
      <c r="E340" t="n">
        <v>-3.17</v>
      </c>
      <c r="F340" t="inlineStr">
        <is>
          <t>C2</t>
        </is>
      </c>
      <c r="G340" t="inlineStr">
        <is>
          <t>4.78</t>
        </is>
      </c>
      <c r="H340" t="n">
        <v>-3.17</v>
      </c>
      <c r="I340" t="inlineStr">
        <is>
          <t>C2</t>
        </is>
      </c>
      <c r="J340" t="n">
        <v>0</v>
      </c>
      <c r="K340" t="inlineStr"/>
      <c r="L340" t="n">
        <v>0.95542</v>
      </c>
      <c r="M340" t="n">
        <v>0.95542</v>
      </c>
      <c r="N340" t="inlineStr">
        <is>
          <t>Yes</t>
        </is>
      </c>
      <c r="O340" t="inlineStr">
        <is>
          <t>equal</t>
        </is>
      </c>
      <c r="P340" t="inlineStr">
        <is>
          <t>deposited</t>
        </is>
      </c>
      <c r="Q340" t="inlineStr"/>
      <c r="R340" t="inlineStr"/>
      <c r="S340">
        <f>HYPERLINK("https://helical-indexing-hi3d.streamlit.app/?emd_id=emd-16952&amp;rise=4.78&amp;twist=-3.17&amp;csym=2&amp;rise2=4.78&amp;twist2=-3.17&amp;csym2=2", "Link")</f>
        <v/>
      </c>
    </row>
    <row r="341">
      <c r="A341" t="inlineStr">
        <is>
          <t>EMD-9350</t>
        </is>
      </c>
      <c r="B341" t="inlineStr">
        <is>
          <t>amyloid</t>
        </is>
      </c>
      <c r="C341" t="n">
        <v>3.8</v>
      </c>
      <c r="D341" t="n">
        <v>4.81</v>
      </c>
      <c r="E341" t="n">
        <v>-2.27</v>
      </c>
      <c r="F341" t="inlineStr">
        <is>
          <t>C1</t>
        </is>
      </c>
      <c r="G341" t="inlineStr">
        <is>
          <t>4.81</t>
        </is>
      </c>
      <c r="H341" t="n">
        <v>-2.27</v>
      </c>
      <c r="I341" t="inlineStr">
        <is>
          <t>C1</t>
        </is>
      </c>
      <c r="J341" t="n">
        <v>0</v>
      </c>
      <c r="K341" t="inlineStr">
        <is>
          <t>z -&gt; x</t>
        </is>
      </c>
      <c r="L341" t="n">
        <v>0.99381</v>
      </c>
      <c r="M341" t="n">
        <v>0.99381</v>
      </c>
      <c r="N341" t="inlineStr">
        <is>
          <t>Yes</t>
        </is>
      </c>
      <c r="O341" t="inlineStr">
        <is>
          <t>equal</t>
        </is>
      </c>
      <c r="P341" t="inlineStr">
        <is>
          <t>deposited</t>
        </is>
      </c>
      <c r="Q341" t="inlineStr"/>
      <c r="R341" t="inlineStr"/>
      <c r="S341">
        <f>HYPERLINK("https://helical-indexing-hi3d.streamlit.app/?emd_id=emd-9350&amp;rise=4.81&amp;twist=-2.27&amp;csym=1&amp;rise2=4.81&amp;twist2=-2.27&amp;csym2=1", "Link")</f>
        <v/>
      </c>
    </row>
    <row r="342">
      <c r="A342" t="inlineStr">
        <is>
          <t>EMD-9339</t>
        </is>
      </c>
      <c r="B342" t="inlineStr">
        <is>
          <t>amyloid</t>
        </is>
      </c>
      <c r="C342" t="n">
        <v>3.8</v>
      </c>
      <c r="D342" t="n">
        <v>2.38</v>
      </c>
      <c r="E342" t="n">
        <v>178.61</v>
      </c>
      <c r="F342" t="inlineStr">
        <is>
          <t>C1</t>
        </is>
      </c>
      <c r="G342" t="inlineStr">
        <is>
          <t>2.38</t>
        </is>
      </c>
      <c r="H342" t="n">
        <v>178.61</v>
      </c>
      <c r="I342" t="inlineStr">
        <is>
          <t>C1</t>
        </is>
      </c>
      <c r="J342" t="n">
        <v>0</v>
      </c>
      <c r="K342" t="inlineStr">
        <is>
          <t>z -&gt; x</t>
        </is>
      </c>
      <c r="L342" t="n">
        <v>0.99271</v>
      </c>
      <c r="M342" t="n">
        <v>0.99271</v>
      </c>
      <c r="N342" t="inlineStr">
        <is>
          <t>Yes</t>
        </is>
      </c>
      <c r="O342" t="inlineStr">
        <is>
          <t>equal</t>
        </is>
      </c>
      <c r="P342" t="inlineStr">
        <is>
          <t>deposited</t>
        </is>
      </c>
      <c r="Q342" t="inlineStr"/>
      <c r="R342" t="inlineStr"/>
      <c r="S342">
        <f>HYPERLINK("https://helical-indexing-hi3d.streamlit.app/?emd_id=emd-9339&amp;rise=2.38&amp;twist=178.61&amp;csym=1&amp;rise2=2.38&amp;twist2=178.61&amp;csym2=1", "Link")</f>
        <v/>
      </c>
    </row>
    <row r="343">
      <c r="A343" t="inlineStr">
        <is>
          <t>EMD-18262</t>
        </is>
      </c>
      <c r="B343" t="inlineStr">
        <is>
          <t>amyloid</t>
        </is>
      </c>
      <c r="C343" t="n">
        <v>3.8</v>
      </c>
      <c r="D343" t="n">
        <v>4.77</v>
      </c>
      <c r="E343" t="n">
        <v>-1.13</v>
      </c>
      <c r="F343" t="inlineStr">
        <is>
          <t>C1</t>
        </is>
      </c>
      <c r="G343" t="inlineStr">
        <is>
          <t>4.77</t>
        </is>
      </c>
      <c r="H343" t="n">
        <v>-1.13</v>
      </c>
      <c r="I343" t="inlineStr">
        <is>
          <t>C1</t>
        </is>
      </c>
      <c r="J343" t="n">
        <v>0</v>
      </c>
      <c r="K343" t="inlineStr"/>
      <c r="L343" t="n">
        <v>0.96368</v>
      </c>
      <c r="M343" t="n">
        <v>0.96368</v>
      </c>
      <c r="N343" t="inlineStr">
        <is>
          <t>Yes</t>
        </is>
      </c>
      <c r="O343" t="inlineStr">
        <is>
          <t>equal</t>
        </is>
      </c>
      <c r="P343" t="inlineStr">
        <is>
          <t>deposited</t>
        </is>
      </c>
      <c r="Q343" t="inlineStr"/>
      <c r="R343" t="inlineStr"/>
      <c r="S343">
        <f>HYPERLINK("https://helical-indexing-hi3d.streamlit.app/?emd_id=emd-18262&amp;rise=4.77&amp;twist=-1.13&amp;csym=1&amp;rise2=4.77&amp;twist2=-1.13&amp;csym2=1", "Link")</f>
        <v/>
      </c>
    </row>
    <row r="344">
      <c r="A344" t="inlineStr">
        <is>
          <t>EMD-8781</t>
        </is>
      </c>
      <c r="B344" t="inlineStr">
        <is>
          <t>amyloid</t>
        </is>
      </c>
      <c r="C344" t="n">
        <v>3.8</v>
      </c>
      <c r="D344" t="n">
        <v>1.598</v>
      </c>
      <c r="E344" t="n">
        <v>-120.441</v>
      </c>
      <c r="F344" t="inlineStr">
        <is>
          <t>C1</t>
        </is>
      </c>
      <c r="G344" t="inlineStr">
        <is>
          <t>1.598</t>
        </is>
      </c>
      <c r="H344" t="n">
        <v>-120.441</v>
      </c>
      <c r="I344" t="inlineStr">
        <is>
          <t>C1</t>
        </is>
      </c>
      <c r="J344" t="n">
        <v>0</v>
      </c>
      <c r="K344" t="inlineStr"/>
      <c r="L344" t="n">
        <v>0.99116</v>
      </c>
      <c r="M344" t="n">
        <v>0.99116</v>
      </c>
      <c r="N344" t="inlineStr">
        <is>
          <t>Yes</t>
        </is>
      </c>
      <c r="O344" t="inlineStr">
        <is>
          <t>equal</t>
        </is>
      </c>
      <c r="P344" t="inlineStr">
        <is>
          <t>deposited</t>
        </is>
      </c>
      <c r="Q344" t="inlineStr"/>
      <c r="R344" t="inlineStr"/>
      <c r="S344">
        <f>HYPERLINK("https://helical-indexing-hi3d.streamlit.app/?emd_id=emd-8781&amp;rise=1.598&amp;twist=-120.441&amp;csym=1&amp;rise2=1.598&amp;twist2=-120.441&amp;csym2=1", "Link")</f>
        <v/>
      </c>
    </row>
    <row r="345">
      <c r="A345" t="inlineStr">
        <is>
          <t>EMD-26692</t>
        </is>
      </c>
      <c r="B345" t="inlineStr">
        <is>
          <t>amyloid</t>
        </is>
      </c>
      <c r="C345" t="n">
        <v>3.8</v>
      </c>
      <c r="D345" t="n">
        <v>4.84</v>
      </c>
      <c r="E345" t="n">
        <v>-1.27</v>
      </c>
      <c r="F345" t="inlineStr">
        <is>
          <t>C1</t>
        </is>
      </c>
      <c r="G345" t="inlineStr">
        <is>
          <t>4.898</t>
        </is>
      </c>
      <c r="H345" t="n">
        <v>-1.457</v>
      </c>
      <c r="I345" t="inlineStr">
        <is>
          <t>C1</t>
        </is>
      </c>
      <c r="J345" t="n">
        <v>0.07175713</v>
      </c>
      <c r="K345" t="inlineStr">
        <is>
          <t> </t>
        </is>
      </c>
      <c r="L345" t="n">
        <v>0.74812</v>
      </c>
      <c r="M345" t="n">
        <v>0.76573</v>
      </c>
      <c r="N345" t="inlineStr">
        <is>
          <t>Yes</t>
        </is>
      </c>
      <c r="O345" t="inlineStr">
        <is>
          <t>improve</t>
        </is>
      </c>
      <c r="P345" t="inlineStr">
        <is>
          <t>adjusted decimals</t>
        </is>
      </c>
      <c r="Q345" t="inlineStr"/>
      <c r="R345" t="inlineStr"/>
      <c r="S345">
        <f>HYPERLINK("https://helical-indexing-hi3d.streamlit.app/?emd_id=emd-26692&amp;rise=4.898&amp;twist=-1.457&amp;csym=1&amp;rise2=4.84&amp;twist2=-1.27&amp;csym2=1", "Link")</f>
        <v/>
      </c>
    </row>
    <row r="346">
      <c r="A346" t="inlineStr">
        <is>
          <t>EMD-15824</t>
        </is>
      </c>
      <c r="B346" t="inlineStr">
        <is>
          <t>amyloid</t>
        </is>
      </c>
      <c r="C346" t="n">
        <v>3.8</v>
      </c>
      <c r="D346" t="n">
        <v>4.75</v>
      </c>
      <c r="E346" t="n">
        <v>-0.5600000000000001</v>
      </c>
      <c r="F346" t="inlineStr">
        <is>
          <t>C2</t>
        </is>
      </c>
      <c r="G346" t="inlineStr">
        <is>
          <t>4.75</t>
        </is>
      </c>
      <c r="H346" t="n">
        <v>-0.5600000000000001</v>
      </c>
      <c r="I346" t="inlineStr">
        <is>
          <t>C2</t>
        </is>
      </c>
      <c r="J346" t="n">
        <v>0</v>
      </c>
      <c r="K346" t="inlineStr">
        <is>
          <t> </t>
        </is>
      </c>
      <c r="L346" t="n">
        <v>0.6685</v>
      </c>
      <c r="M346" t="n">
        <v>0.6685</v>
      </c>
      <c r="N346" t="inlineStr">
        <is>
          <t>No</t>
        </is>
      </c>
      <c r="O346" t="inlineStr">
        <is>
          <t>equal</t>
        </is>
      </c>
      <c r="P346" t="inlineStr">
        <is>
          <t>deposited</t>
        </is>
      </c>
      <c r="Q346" t="inlineStr"/>
      <c r="R346" t="inlineStr"/>
      <c r="S346">
        <f>HYPERLINK("https://helical-indexing-hi3d.streamlit.app/?emd_id=emd-15824&amp;rise=4.75&amp;twist=-0.56&amp;csym=2&amp;rise2=4.75&amp;twist2=-0.56&amp;csym2=2", "Link")</f>
        <v/>
      </c>
    </row>
    <row r="347">
      <c r="A347" t="inlineStr">
        <is>
          <t>EMD-30269</t>
        </is>
      </c>
      <c r="B347" t="inlineStr">
        <is>
          <t>amyloid</t>
        </is>
      </c>
      <c r="C347" t="n">
        <v>3.8</v>
      </c>
      <c r="D347" t="n">
        <v>2.42</v>
      </c>
      <c r="E347" t="n">
        <v>-179.53</v>
      </c>
      <c r="F347" t="inlineStr">
        <is>
          <t>C1</t>
        </is>
      </c>
      <c r="G347" t="inlineStr">
        <is>
          <t>2.42</t>
        </is>
      </c>
      <c r="H347" t="n">
        <v>-179.53</v>
      </c>
      <c r="I347" t="inlineStr">
        <is>
          <t>C1</t>
        </is>
      </c>
      <c r="J347" t="n">
        <v>0</v>
      </c>
      <c r="K347" t="inlineStr"/>
      <c r="L347" t="n">
        <v>0.92435</v>
      </c>
      <c r="M347" t="n">
        <v>0.92435</v>
      </c>
      <c r="N347" t="inlineStr">
        <is>
          <t>Yes</t>
        </is>
      </c>
      <c r="O347" t="inlineStr">
        <is>
          <t>equal</t>
        </is>
      </c>
      <c r="P347" t="inlineStr">
        <is>
          <t>deposited</t>
        </is>
      </c>
      <c r="Q347" t="inlineStr"/>
      <c r="R347" t="inlineStr"/>
      <c r="S347">
        <f>HYPERLINK("https://helical-indexing-hi3d.streamlit.app/?emd_id=emd-30269&amp;rise=2.42&amp;twist=-179.53&amp;csym=1&amp;rise2=2.42&amp;twist2=-179.53&amp;csym2=1", "Link")</f>
        <v/>
      </c>
    </row>
    <row r="348">
      <c r="A348" t="inlineStr">
        <is>
          <t>EMD-18252</t>
        </is>
      </c>
      <c r="B348" t="inlineStr">
        <is>
          <t>amyloid</t>
        </is>
      </c>
      <c r="C348" t="n">
        <v>3.81</v>
      </c>
      <c r="D348" t="n">
        <v>2.38</v>
      </c>
      <c r="E348" t="n">
        <v>179.61</v>
      </c>
      <c r="F348" t="inlineStr">
        <is>
          <t>C1</t>
        </is>
      </c>
      <c r="G348" t="inlineStr">
        <is>
          <t>2.38</t>
        </is>
      </c>
      <c r="H348" t="n">
        <v>179.61</v>
      </c>
      <c r="I348" t="inlineStr">
        <is>
          <t>C1</t>
        </is>
      </c>
      <c r="J348" t="n">
        <v>0</v>
      </c>
      <c r="K348" t="inlineStr"/>
      <c r="L348" t="n">
        <v>0.96447</v>
      </c>
      <c r="M348" t="n">
        <v>0.96447</v>
      </c>
      <c r="N348" t="inlineStr">
        <is>
          <t>Yes</t>
        </is>
      </c>
      <c r="O348" t="inlineStr">
        <is>
          <t>equal</t>
        </is>
      </c>
      <c r="P348" t="inlineStr">
        <is>
          <t>deposited</t>
        </is>
      </c>
      <c r="Q348" t="inlineStr"/>
      <c r="R348" t="inlineStr"/>
      <c r="S348">
        <f>HYPERLINK("https://helical-indexing-hi3d.streamlit.app/?emd_id=emd-18252&amp;rise=2.38&amp;twist=179.61&amp;csym=1&amp;rise2=2.38&amp;twist2=179.61&amp;csym2=1", "Link")</f>
        <v/>
      </c>
    </row>
    <row r="349">
      <c r="A349" t="inlineStr">
        <is>
          <t>EMD-12266</t>
        </is>
      </c>
      <c r="B349" t="inlineStr">
        <is>
          <t>amyloid</t>
        </is>
      </c>
      <c r="C349" t="n">
        <v>3.84</v>
      </c>
      <c r="D349" t="n">
        <v>4.78</v>
      </c>
      <c r="E349" t="n">
        <v>-0.86</v>
      </c>
      <c r="F349" t="inlineStr">
        <is>
          <t>C2</t>
        </is>
      </c>
      <c r="G349" t="inlineStr"/>
      <c r="H349" t="inlineStr"/>
      <c r="I349" t="inlineStr">
        <is>
          <t>C2</t>
        </is>
      </c>
      <c r="J349" t="inlineStr"/>
      <c r="K349" t="inlineStr">
        <is>
          <t> </t>
        </is>
      </c>
      <c r="L349" t="inlineStr"/>
      <c r="M349" t="inlineStr"/>
      <c r="N349" t="inlineStr">
        <is>
          <t>Excluded</t>
        </is>
      </c>
      <c r="O349" t="inlineStr"/>
      <c r="P349" t="inlineStr">
        <is>
          <t>z-shifted</t>
        </is>
      </c>
      <c r="Q349" t="inlineStr"/>
      <c r="R349" t="inlineStr"/>
      <c r="S349">
        <f>HYPERLINK("https://helical-indexing-hi3d.streamlit.app/?emd_id=emd-12266&amp;rise=nan&amp;twist=nan&amp;csym=2&amp;rise2=4.78&amp;twist2=-0.86&amp;csym2=2", "Link")</f>
        <v/>
      </c>
    </row>
    <row r="350">
      <c r="A350" t="inlineStr">
        <is>
          <t>EMD-18717</t>
        </is>
      </c>
      <c r="B350" t="inlineStr">
        <is>
          <t>amyloid</t>
        </is>
      </c>
      <c r="C350" t="n">
        <v>3.86</v>
      </c>
      <c r="D350" t="n">
        <v>4.773</v>
      </c>
      <c r="E350" t="n">
        <v>-1.3</v>
      </c>
      <c r="F350" t="inlineStr">
        <is>
          <t>C3</t>
        </is>
      </c>
      <c r="G350" t="inlineStr">
        <is>
          <t>4.773</t>
        </is>
      </c>
      <c r="H350" t="n">
        <v>-1.3</v>
      </c>
      <c r="I350" t="inlineStr">
        <is>
          <t>C3</t>
        </is>
      </c>
      <c r="J350" t="n">
        <v>0</v>
      </c>
      <c r="K350" t="inlineStr"/>
      <c r="L350" t="n">
        <v>0.80913</v>
      </c>
      <c r="M350" t="n">
        <v>0.80913</v>
      </c>
      <c r="N350" t="inlineStr">
        <is>
          <t>Yes</t>
        </is>
      </c>
      <c r="O350" t="inlineStr">
        <is>
          <t>equal</t>
        </is>
      </c>
      <c r="P350" t="inlineStr">
        <is>
          <t>deposited</t>
        </is>
      </c>
      <c r="Q350" t="inlineStr"/>
      <c r="R350" t="inlineStr"/>
      <c r="S350">
        <f>HYPERLINK("https://helical-indexing-hi3d.streamlit.app/?emd_id=emd-18717&amp;rise=4.773&amp;twist=-1.3&amp;csym=3&amp;rise2=4.773&amp;twist2=-1.3&amp;csym2=3", "Link")</f>
        <v/>
      </c>
    </row>
    <row r="351">
      <c r="A351" t="inlineStr">
        <is>
          <t>EMD-28721</t>
        </is>
      </c>
      <c r="B351" t="inlineStr">
        <is>
          <t>amyloid</t>
        </is>
      </c>
      <c r="C351" t="n">
        <v>3.88</v>
      </c>
      <c r="D351" t="n">
        <v>4.75</v>
      </c>
      <c r="E351" t="n">
        <v>-1</v>
      </c>
      <c r="F351" t="inlineStr">
        <is>
          <t>C1</t>
        </is>
      </c>
      <c r="G351" t="inlineStr">
        <is>
          <t>4.765</t>
        </is>
      </c>
      <c r="H351" t="n">
        <v>-0.994</v>
      </c>
      <c r="I351" t="inlineStr">
        <is>
          <t>C1</t>
        </is>
      </c>
      <c r="J351" t="n">
        <v>0.0150980464722685</v>
      </c>
      <c r="K351" t="inlineStr"/>
      <c r="L351" t="n">
        <v>0.77193</v>
      </c>
      <c r="M351" t="n">
        <v>0.77822</v>
      </c>
      <c r="N351" t="inlineStr">
        <is>
          <t>Yes</t>
        </is>
      </c>
      <c r="O351" t="inlineStr">
        <is>
          <t>improve</t>
        </is>
      </c>
      <c r="P351" t="inlineStr">
        <is>
          <t>adjusted decimals</t>
        </is>
      </c>
      <c r="Q351" t="inlineStr"/>
      <c r="R351" t="inlineStr"/>
      <c r="S351">
        <f>HYPERLINK("https://helical-indexing-hi3d.streamlit.app/?emd_id=emd-28721&amp;rise=4.765&amp;twist=-0.994&amp;csym=1&amp;rise2=4.75&amp;twist2=-1.0&amp;csym2=1", "Link")</f>
        <v/>
      </c>
    </row>
    <row r="352">
      <c r="A352" t="inlineStr">
        <is>
          <t>EMD-23687</t>
        </is>
      </c>
      <c r="B352" t="inlineStr">
        <is>
          <t>amyloid</t>
        </is>
      </c>
      <c r="C352" t="n">
        <v>3.9</v>
      </c>
      <c r="D352" t="n">
        <v>4.8</v>
      </c>
      <c r="E352" t="n">
        <v>178.42</v>
      </c>
      <c r="F352" t="inlineStr">
        <is>
          <t>C2</t>
        </is>
      </c>
      <c r="G352" t="inlineStr">
        <is>
          <t>4.81</t>
        </is>
      </c>
      <c r="H352" t="n">
        <v>-1.5</v>
      </c>
      <c r="I352" t="inlineStr">
        <is>
          <t>C2</t>
        </is>
      </c>
      <c r="J352" t="n">
        <v>0.021422114</v>
      </c>
      <c r="K352" t="inlineStr">
        <is>
          <t> </t>
        </is>
      </c>
      <c r="L352" t="n">
        <v>0.52647</v>
      </c>
      <c r="M352" t="n">
        <v>0.53309</v>
      </c>
      <c r="N352" t="inlineStr">
        <is>
          <t>No</t>
        </is>
      </c>
      <c r="O352" t="inlineStr">
        <is>
          <t>improve</t>
        </is>
      </c>
      <c r="P352" t="inlineStr">
        <is>
          <t>adjusted decimals</t>
        </is>
      </c>
      <c r="Q352" t="inlineStr"/>
      <c r="R352" t="inlineStr"/>
      <c r="S352">
        <f>HYPERLINK("https://helical-indexing-hi3d.streamlit.app/?emd_id=emd-23687&amp;rise=4.81&amp;twist=-1.5&amp;csym=2&amp;rise2=4.8&amp;twist2=178.42&amp;csym2=2", "Link")</f>
        <v/>
      </c>
    </row>
    <row r="353">
      <c r="A353" t="inlineStr">
        <is>
          <t>EMD-11382</t>
        </is>
      </c>
      <c r="B353" t="inlineStr">
        <is>
          <t>amyloid</t>
        </is>
      </c>
      <c r="C353" t="n">
        <v>3.9</v>
      </c>
      <c r="D353" t="n">
        <v>2.41</v>
      </c>
      <c r="E353" t="n">
        <v>179.05</v>
      </c>
      <c r="F353" t="inlineStr">
        <is>
          <t>C1</t>
        </is>
      </c>
      <c r="G353" t="inlineStr">
        <is>
          <t>2.41</t>
        </is>
      </c>
      <c r="H353" t="n">
        <v>179.05</v>
      </c>
      <c r="I353" t="inlineStr">
        <is>
          <t>C1</t>
        </is>
      </c>
      <c r="J353" t="n">
        <v>0</v>
      </c>
      <c r="K353" t="inlineStr"/>
      <c r="L353" t="n">
        <v>0.71407</v>
      </c>
      <c r="M353" t="n">
        <v>0.71407</v>
      </c>
      <c r="N353" t="inlineStr">
        <is>
          <t>No</t>
        </is>
      </c>
      <c r="O353" t="inlineStr">
        <is>
          <t>equal</t>
        </is>
      </c>
      <c r="P353" t="inlineStr">
        <is>
          <t>deposited</t>
        </is>
      </c>
      <c r="Q353" t="inlineStr"/>
      <c r="R353" t="inlineStr"/>
      <c r="S353">
        <f>HYPERLINK("https://helical-indexing-hi3d.streamlit.app/?emd_id=emd-11382&amp;rise=2.41&amp;twist=179.05&amp;csym=1&amp;rise2=2.41&amp;twist2=179.05&amp;csym2=1", "Link")</f>
        <v/>
      </c>
    </row>
    <row r="354">
      <c r="A354" t="inlineStr">
        <is>
          <t>EMD-28014</t>
        </is>
      </c>
      <c r="B354" t="inlineStr">
        <is>
          <t>amyloid</t>
        </is>
      </c>
      <c r="C354" t="n">
        <v>3.9</v>
      </c>
      <c r="D354" t="n">
        <v>4.88</v>
      </c>
      <c r="E354" t="n">
        <v>-0.72</v>
      </c>
      <c r="F354" t="inlineStr">
        <is>
          <t>C1</t>
        </is>
      </c>
      <c r="G354" t="inlineStr">
        <is>
          <t>4.75</t>
        </is>
      </c>
      <c r="H354" t="n">
        <v>0.53</v>
      </c>
      <c r="I354" t="inlineStr">
        <is>
          <t>C1</t>
        </is>
      </c>
      <c r="J354" t="n">
        <v>0.3927057956116789</v>
      </c>
      <c r="K354" t="inlineStr">
        <is>
          <t>z -&gt; x</t>
        </is>
      </c>
      <c r="L354" t="n">
        <v>0.41263</v>
      </c>
      <c r="M354" t="n">
        <v>0.8858200000000001</v>
      </c>
      <c r="N354" t="inlineStr">
        <is>
          <t>Yes</t>
        </is>
      </c>
      <c r="O354" t="inlineStr">
        <is>
          <t>improve</t>
        </is>
      </c>
      <c r="P354" t="inlineStr">
        <is>
          <t>twist sign</t>
        </is>
      </c>
      <c r="Q354" t="inlineStr"/>
      <c r="R354" t="inlineStr"/>
      <c r="S354">
        <f>HYPERLINK("https://helical-indexing-hi3d.streamlit.app/?emd_id=emd-28014&amp;rise=4.75&amp;twist=0.53&amp;csym=1&amp;rise2=4.88&amp;twist2=-0.72&amp;csym2=1", "Link")</f>
        <v/>
      </c>
    </row>
    <row r="355">
      <c r="A355" t="inlineStr">
        <is>
          <t>EMD-27323</t>
        </is>
      </c>
      <c r="B355" t="inlineStr">
        <is>
          <t>amyloid</t>
        </is>
      </c>
      <c r="C355" t="n">
        <v>3.9</v>
      </c>
      <c r="D355" t="n">
        <v>4.758</v>
      </c>
      <c r="E355" t="n">
        <v>-1.25</v>
      </c>
      <c r="F355" t="inlineStr">
        <is>
          <t>C1</t>
        </is>
      </c>
      <c r="G355" t="inlineStr">
        <is>
          <t>4.929</t>
        </is>
      </c>
      <c r="H355" t="n">
        <v>-1.503</v>
      </c>
      <c r="I355" t="inlineStr">
        <is>
          <t>C1</t>
        </is>
      </c>
      <c r="J355" t="n">
        <v>0.1889819071989094</v>
      </c>
      <c r="K355" t="inlineStr"/>
      <c r="L355" t="n">
        <v>0.69784</v>
      </c>
      <c r="M355" t="n">
        <v>0.77344</v>
      </c>
      <c r="N355" t="inlineStr">
        <is>
          <t>Yes</t>
        </is>
      </c>
      <c r="O355" t="inlineStr">
        <is>
          <t>improve</t>
        </is>
      </c>
      <c r="P355" t="inlineStr">
        <is>
          <t>adjusted decimals</t>
        </is>
      </c>
      <c r="Q355" t="inlineStr"/>
      <c r="R355" t="inlineStr"/>
      <c r="S355">
        <f>HYPERLINK("https://helical-indexing-hi3d.streamlit.app/?emd_id=emd-27323&amp;rise=4.929&amp;twist=-1.503&amp;csym=1&amp;rise2=4.758&amp;twist2=-1.25&amp;csym2=1", "Link")</f>
        <v/>
      </c>
    </row>
    <row r="356">
      <c r="A356" t="inlineStr">
        <is>
          <t>EMD-27458</t>
        </is>
      </c>
      <c r="B356" t="inlineStr">
        <is>
          <t>amyloid</t>
        </is>
      </c>
      <c r="C356" t="n">
        <v>3.92</v>
      </c>
      <c r="D356" t="n">
        <v>4.74</v>
      </c>
      <c r="E356" t="n">
        <v>-2.36</v>
      </c>
      <c r="F356" t="inlineStr">
        <is>
          <t>C2</t>
        </is>
      </c>
      <c r="G356" t="inlineStr">
        <is>
          <t>4.75</t>
        </is>
      </c>
      <c r="H356" t="n">
        <v>-2.402</v>
      </c>
      <c r="I356" t="inlineStr">
        <is>
          <t>C2</t>
        </is>
      </c>
      <c r="J356" t="n">
        <v>0.020428193</v>
      </c>
      <c r="K356" t="inlineStr"/>
      <c r="L356" t="n">
        <v>0.80198</v>
      </c>
      <c r="M356" t="n">
        <v>0.80198</v>
      </c>
      <c r="N356" t="inlineStr">
        <is>
          <t>Yes</t>
        </is>
      </c>
      <c r="O356" t="inlineStr">
        <is>
          <t>equal</t>
        </is>
      </c>
      <c r="P356" t="inlineStr">
        <is>
          <t>deposited</t>
        </is>
      </c>
      <c r="Q356" t="inlineStr"/>
      <c r="R356" t="inlineStr"/>
      <c r="S356">
        <f>HYPERLINK("https://helical-indexing-hi3d.streamlit.app/?emd_id=emd-27458&amp;rise=4.75&amp;twist=-2.402&amp;csym=2&amp;rise2=4.74&amp;twist2=-2.36&amp;csym2=2", "Link")</f>
        <v/>
      </c>
    </row>
    <row r="357">
      <c r="A357" t="inlineStr">
        <is>
          <t>EMD-0014</t>
        </is>
      </c>
      <c r="B357" t="inlineStr">
        <is>
          <t>amyloid</t>
        </is>
      </c>
      <c r="C357" t="n">
        <v>3.975</v>
      </c>
      <c r="D357" t="n">
        <v>4.83</v>
      </c>
      <c r="E357" t="n">
        <v>-0.608</v>
      </c>
      <c r="F357" t="inlineStr">
        <is>
          <t>C2</t>
        </is>
      </c>
      <c r="G357" t="inlineStr">
        <is>
          <t>4.81068</t>
        </is>
      </c>
      <c r="H357" t="n">
        <v>-0.6177280000000001</v>
      </c>
      <c r="I357" t="inlineStr">
        <is>
          <t>C2</t>
        </is>
      </c>
      <c r="J357" t="n">
        <v>0.019990060878689</v>
      </c>
      <c r="K357" t="inlineStr">
        <is>
          <t> </t>
        </is>
      </c>
      <c r="L357" t="n">
        <v>0.74863</v>
      </c>
      <c r="M357" t="n">
        <v>0.7491100000000001</v>
      </c>
      <c r="N357" t="inlineStr">
        <is>
          <t>No</t>
        </is>
      </c>
      <c r="O357" t="inlineStr">
        <is>
          <t>improve</t>
        </is>
      </c>
      <c r="P357" t="inlineStr">
        <is>
          <t>adjusted decimals</t>
        </is>
      </c>
      <c r="Q357" t="inlineStr"/>
      <c r="R357" t="inlineStr"/>
      <c r="S357">
        <f>HYPERLINK("https://helical-indexing-hi3d.streamlit.app/?emd_id=emd-0014&amp;rise=4.81068&amp;twist=-0.617728&amp;csym=2&amp;rise2=4.83&amp;twist2=-0.608&amp;csym2=2", "Link")</f>
        <v/>
      </c>
    </row>
    <row r="358">
      <c r="A358" t="inlineStr">
        <is>
          <t>EMD-23212</t>
        </is>
      </c>
      <c r="B358" t="inlineStr">
        <is>
          <t>amyloid</t>
        </is>
      </c>
      <c r="C358" t="n">
        <v>4</v>
      </c>
      <c r="D358" t="n">
        <v>2.43</v>
      </c>
      <c r="E358" t="n">
        <v>-179.3</v>
      </c>
      <c r="F358" t="inlineStr">
        <is>
          <t>C1</t>
        </is>
      </c>
      <c r="G358" t="inlineStr">
        <is>
          <t>2.36</t>
        </is>
      </c>
      <c r="H358" t="n">
        <v>179.09</v>
      </c>
      <c r="I358" t="inlineStr">
        <is>
          <t>C1</t>
        </is>
      </c>
      <c r="J358" t="n">
        <v>0.6248582700922047</v>
      </c>
      <c r="K358" t="inlineStr">
        <is>
          <t> </t>
        </is>
      </c>
      <c r="L358" t="n">
        <v>0.65764</v>
      </c>
      <c r="M358" t="n">
        <v>0.75618</v>
      </c>
      <c r="N358" t="inlineStr">
        <is>
          <t>Yes</t>
        </is>
      </c>
      <c r="O358" t="inlineStr">
        <is>
          <t>improve</t>
        </is>
      </c>
      <c r="P358" t="inlineStr">
        <is>
          <t>twist sign</t>
        </is>
      </c>
      <c r="Q358" t="inlineStr"/>
      <c r="R358" t="inlineStr"/>
      <c r="S358">
        <f>HYPERLINK("https://helical-indexing-hi3d.streamlit.app/?emd_id=emd-23212&amp;rise=2.36&amp;twist=179.09&amp;csym=1&amp;rise2=2.43&amp;twist2=-179.3&amp;csym2=1", "Link")</f>
        <v/>
      </c>
    </row>
    <row r="359">
      <c r="A359" t="inlineStr">
        <is>
          <t>EMD-23688</t>
        </is>
      </c>
      <c r="B359" t="inlineStr">
        <is>
          <t>amyloid</t>
        </is>
      </c>
      <c r="C359" t="n">
        <v>4</v>
      </c>
      <c r="D359" t="n">
        <v>2.4</v>
      </c>
      <c r="E359" t="n">
        <v>178.33</v>
      </c>
      <c r="F359" t="inlineStr">
        <is>
          <t>C1</t>
        </is>
      </c>
      <c r="G359" t="inlineStr">
        <is>
          <t>2.4</t>
        </is>
      </c>
      <c r="H359" t="n">
        <v>178.33</v>
      </c>
      <c r="I359" t="inlineStr">
        <is>
          <t>C1</t>
        </is>
      </c>
      <c r="J359" t="n">
        <v>0</v>
      </c>
      <c r="K359" t="inlineStr">
        <is>
          <t>z -&gt; x</t>
        </is>
      </c>
      <c r="L359" t="n">
        <v>0.9951100000000001</v>
      </c>
      <c r="M359" t="n">
        <v>0.9951100000000001</v>
      </c>
      <c r="N359" t="inlineStr">
        <is>
          <t>Yes</t>
        </is>
      </c>
      <c r="O359" t="inlineStr">
        <is>
          <t>equal</t>
        </is>
      </c>
      <c r="P359" t="inlineStr">
        <is>
          <t>deposited</t>
        </is>
      </c>
      <c r="Q359" t="inlineStr"/>
      <c r="R359" t="inlineStr"/>
      <c r="S359">
        <f>HYPERLINK("https://helical-indexing-hi3d.streamlit.app/?emd_id=emd-23688&amp;rise=2.4&amp;twist=178.33&amp;csym=1&amp;rise2=2.4&amp;twist2=178.33&amp;csym2=1", "Link")</f>
        <v/>
      </c>
    </row>
    <row r="360">
      <c r="A360" t="inlineStr">
        <is>
          <t>EMD-11383</t>
        </is>
      </c>
      <c r="B360" t="inlineStr">
        <is>
          <t>amyloid</t>
        </is>
      </c>
      <c r="C360" t="n">
        <v>4</v>
      </c>
      <c r="D360" t="n">
        <v>4.81</v>
      </c>
      <c r="E360" t="n">
        <v>-1.9</v>
      </c>
      <c r="F360" t="inlineStr">
        <is>
          <t>C1</t>
        </is>
      </c>
      <c r="G360" t="inlineStr">
        <is>
          <t>4.81</t>
        </is>
      </c>
      <c r="H360" t="n">
        <v>-1.9304</v>
      </c>
      <c r="I360" t="inlineStr">
        <is>
          <t>C1</t>
        </is>
      </c>
      <c r="J360" t="n">
        <v>0.008975339000000001</v>
      </c>
      <c r="K360" t="inlineStr">
        <is>
          <t> </t>
        </is>
      </c>
      <c r="L360" t="n">
        <v>0.72581</v>
      </c>
      <c r="M360" t="n">
        <v>0.72589</v>
      </c>
      <c r="N360" t="inlineStr">
        <is>
          <t>No</t>
        </is>
      </c>
      <c r="O360" t="inlineStr">
        <is>
          <t>improve</t>
        </is>
      </c>
      <c r="P360" t="inlineStr">
        <is>
          <t>adjusted decimals</t>
        </is>
      </c>
      <c r="Q360" t="inlineStr"/>
      <c r="R360" t="inlineStr"/>
      <c r="S360">
        <f>HYPERLINK("https://helical-indexing-hi3d.streamlit.app/?emd_id=emd-11383&amp;rise=4.81&amp;twist=-1.9304&amp;csym=1&amp;rise2=4.81&amp;twist2=-1.9&amp;csym2=1", "Link")</f>
        <v/>
      </c>
    </row>
    <row r="361">
      <c r="A361" t="inlineStr">
        <is>
          <t>EMD-16961</t>
        </is>
      </c>
      <c r="B361" t="inlineStr">
        <is>
          <t>amyloid</t>
        </is>
      </c>
      <c r="C361" t="n">
        <v>4</v>
      </c>
      <c r="D361" t="n">
        <v>4.72</v>
      </c>
      <c r="E361" t="n">
        <v>-5.24</v>
      </c>
      <c r="F361" t="inlineStr">
        <is>
          <t>C1</t>
        </is>
      </c>
      <c r="G361" t="inlineStr">
        <is>
          <t>4.72</t>
        </is>
      </c>
      <c r="H361" t="n">
        <v>-5.24</v>
      </c>
      <c r="I361" t="inlineStr">
        <is>
          <t>C1</t>
        </is>
      </c>
      <c r="J361" t="n">
        <v>0</v>
      </c>
      <c r="K361" t="inlineStr"/>
      <c r="L361" t="n">
        <v>0.93249</v>
      </c>
      <c r="M361" t="n">
        <v>0.93249</v>
      </c>
      <c r="N361" t="inlineStr">
        <is>
          <t>Yes</t>
        </is>
      </c>
      <c r="O361" t="inlineStr">
        <is>
          <t>equal</t>
        </is>
      </c>
      <c r="P361" t="inlineStr">
        <is>
          <t>deposited</t>
        </is>
      </c>
      <c r="Q361" t="inlineStr"/>
      <c r="R361" t="inlineStr"/>
      <c r="S361">
        <f>HYPERLINK("https://helical-indexing-hi3d.streamlit.app/?emd_id=emd-16961&amp;rise=4.72&amp;twist=-5.24&amp;csym=1&amp;rise2=4.72&amp;twist2=-5.24&amp;csym2=1", "Link")</f>
        <v/>
      </c>
    </row>
    <row r="362">
      <c r="A362" t="inlineStr">
        <is>
          <t>EMD-3851</t>
        </is>
      </c>
      <c r="B362" t="inlineStr">
        <is>
          <t>amyloid</t>
        </is>
      </c>
      <c r="C362" t="n">
        <v>4</v>
      </c>
      <c r="D362" t="n">
        <v>2.335</v>
      </c>
      <c r="E362" t="n">
        <v>-179.275</v>
      </c>
      <c r="F362" t="inlineStr">
        <is>
          <t>C1</t>
        </is>
      </c>
      <c r="G362" t="inlineStr">
        <is>
          <t>2.327342349</t>
        </is>
      </c>
      <c r="H362" t="n">
        <v>179.2688715</v>
      </c>
      <c r="I362" t="inlineStr">
        <is>
          <t>C1</t>
        </is>
      </c>
      <c r="J362" t="n">
        <v>0.1084282770084859</v>
      </c>
      <c r="K362" t="inlineStr">
        <is>
          <t> </t>
        </is>
      </c>
      <c r="L362" t="n">
        <v>0.08001</v>
      </c>
      <c r="M362" t="n">
        <v>0.89941</v>
      </c>
      <c r="N362" t="inlineStr">
        <is>
          <t>Yes</t>
        </is>
      </c>
      <c r="O362" t="inlineStr">
        <is>
          <t>improve</t>
        </is>
      </c>
      <c r="P362" t="inlineStr">
        <is>
          <t>twist sign</t>
        </is>
      </c>
      <c r="Q362" t="inlineStr"/>
      <c r="R362" t="inlineStr"/>
      <c r="S362">
        <f>HYPERLINK("https://helical-indexing-hi3d.streamlit.app/?emd_id=emd-3851&amp;rise=2.327342349&amp;twist=179.2688715&amp;csym=1&amp;rise2=2.335&amp;twist2=-179.275&amp;csym2=1", "Link")</f>
        <v/>
      </c>
    </row>
    <row r="363">
      <c r="A363" t="inlineStr">
        <is>
          <t>EMD-16780</t>
        </is>
      </c>
      <c r="B363" t="inlineStr">
        <is>
          <t>amyloid</t>
        </is>
      </c>
      <c r="C363" t="n">
        <v>4</v>
      </c>
      <c r="D363" t="n">
        <v>4.9</v>
      </c>
      <c r="E363" t="n">
        <v>-1.63</v>
      </c>
      <c r="F363" t="inlineStr">
        <is>
          <t>C1</t>
        </is>
      </c>
      <c r="G363" t="inlineStr">
        <is>
          <t>4.9</t>
        </is>
      </c>
      <c r="H363" t="n">
        <v>-1.65608</v>
      </c>
      <c r="I363" t="inlineStr">
        <is>
          <t>C1</t>
        </is>
      </c>
      <c r="J363" t="n">
        <v>0.008391447999999999</v>
      </c>
      <c r="K363" t="inlineStr">
        <is>
          <t> </t>
        </is>
      </c>
      <c r="L363" t="n">
        <v>0.74275</v>
      </c>
      <c r="M363" t="n">
        <v>0.7428</v>
      </c>
      <c r="N363" t="inlineStr">
        <is>
          <t>No</t>
        </is>
      </c>
      <c r="O363" t="inlineStr">
        <is>
          <t>improve</t>
        </is>
      </c>
      <c r="P363" t="inlineStr">
        <is>
          <t>adjusted decimals</t>
        </is>
      </c>
      <c r="Q363" t="inlineStr"/>
      <c r="R363" t="inlineStr"/>
      <c r="S363">
        <f>HYPERLINK("https://helical-indexing-hi3d.streamlit.app/?emd_id=emd-16780&amp;rise=4.9&amp;twist=-1.65608&amp;csym=1&amp;rise2=4.9&amp;twist2=-1.63&amp;csym2=1", "Link")</f>
        <v/>
      </c>
    </row>
    <row r="364">
      <c r="A364" t="inlineStr">
        <is>
          <t>EMD-0274</t>
        </is>
      </c>
      <c r="B364" t="inlineStr">
        <is>
          <t>amyloid</t>
        </is>
      </c>
      <c r="C364" t="n">
        <v>4</v>
      </c>
      <c r="D364" t="n">
        <v>4.903</v>
      </c>
      <c r="E364" t="n">
        <v>-1.608</v>
      </c>
      <c r="F364" t="inlineStr">
        <is>
          <t>C1</t>
        </is>
      </c>
      <c r="G364" t="inlineStr">
        <is>
          <t>4.903</t>
        </is>
      </c>
      <c r="H364" t="n">
        <v>-1.608</v>
      </c>
      <c r="I364" t="inlineStr">
        <is>
          <t>C1</t>
        </is>
      </c>
      <c r="J364" t="n">
        <v>0</v>
      </c>
      <c r="K364" t="inlineStr">
        <is>
          <t> </t>
        </is>
      </c>
      <c r="L364" t="n">
        <v>0.7714299999999999</v>
      </c>
      <c r="M364" t="n">
        <v>0.7714299999999999</v>
      </c>
      <c r="N364" t="inlineStr">
        <is>
          <t>Yes</t>
        </is>
      </c>
      <c r="O364" t="inlineStr">
        <is>
          <t>equal</t>
        </is>
      </c>
      <c r="P364" t="inlineStr">
        <is>
          <t>deposited</t>
        </is>
      </c>
      <c r="Q364" t="inlineStr"/>
      <c r="R364" t="inlineStr"/>
      <c r="S364">
        <f>HYPERLINK("https://helical-indexing-hi3d.streamlit.app/?emd_id=emd-0274&amp;rise=4.903&amp;twist=-1.608&amp;csym=1&amp;rise2=4.903&amp;twist2=-1.608&amp;csym2=1", "Link")</f>
        <v/>
      </c>
    </row>
    <row r="365">
      <c r="A365" t="inlineStr">
        <is>
          <t>EMD-18716</t>
        </is>
      </c>
      <c r="B365" t="inlineStr">
        <is>
          <t>amyloid</t>
        </is>
      </c>
      <c r="C365" t="n">
        <v>4.05</v>
      </c>
      <c r="D365" t="n">
        <v>4.792</v>
      </c>
      <c r="E365" t="n">
        <v>-1.802</v>
      </c>
      <c r="F365" t="inlineStr">
        <is>
          <t>C1</t>
        </is>
      </c>
      <c r="G365" t="inlineStr">
        <is>
          <t>4.792</t>
        </is>
      </c>
      <c r="H365" t="n">
        <v>-1.802</v>
      </c>
      <c r="I365" t="inlineStr">
        <is>
          <t>C1</t>
        </is>
      </c>
      <c r="J365" t="n">
        <v>0</v>
      </c>
      <c r="K365" t="inlineStr"/>
      <c r="L365" t="n">
        <v>0.7926</v>
      </c>
      <c r="M365" t="n">
        <v>0.7926</v>
      </c>
      <c r="N365" t="inlineStr">
        <is>
          <t>Yes</t>
        </is>
      </c>
      <c r="O365" t="inlineStr">
        <is>
          <t>equal</t>
        </is>
      </c>
      <c r="P365" t="inlineStr">
        <is>
          <t>deposited</t>
        </is>
      </c>
      <c r="Q365" t="inlineStr"/>
      <c r="R365" t="inlineStr"/>
      <c r="S365">
        <f>HYPERLINK("https://helical-indexing-hi3d.streamlit.app/?emd_id=emd-18716&amp;rise=4.792&amp;twist=-1.802&amp;csym=1&amp;rise2=4.792&amp;twist2=-1.802&amp;csym2=1", "Link")</f>
        <v/>
      </c>
    </row>
    <row r="366">
      <c r="A366" t="inlineStr">
        <is>
          <t>EMD-23689</t>
        </is>
      </c>
      <c r="B366" t="inlineStr">
        <is>
          <t>amyloid</t>
        </is>
      </c>
      <c r="C366" t="n">
        <v>4.1</v>
      </c>
      <c r="D366" t="n">
        <v>4.81</v>
      </c>
      <c r="E366" t="n">
        <v>-2.94</v>
      </c>
      <c r="F366" t="inlineStr">
        <is>
          <t>C1</t>
        </is>
      </c>
      <c r="G366" t="inlineStr">
        <is>
          <t>4.81</t>
        </is>
      </c>
      <c r="H366" t="n">
        <v>-2.94</v>
      </c>
      <c r="I366" t="inlineStr">
        <is>
          <t>C1</t>
        </is>
      </c>
      <c r="J366" t="n">
        <v>0</v>
      </c>
      <c r="K366" t="inlineStr">
        <is>
          <t>z -&gt; x</t>
        </is>
      </c>
      <c r="L366" t="n">
        <v>0.99658</v>
      </c>
      <c r="M366" t="n">
        <v>0.99658</v>
      </c>
      <c r="N366" t="inlineStr">
        <is>
          <t>Yes</t>
        </is>
      </c>
      <c r="O366" t="inlineStr">
        <is>
          <t>equal</t>
        </is>
      </c>
      <c r="P366" t="inlineStr">
        <is>
          <t>deposited</t>
        </is>
      </c>
      <c r="Q366" t="inlineStr"/>
      <c r="R366" t="inlineStr"/>
      <c r="S366">
        <f>HYPERLINK("https://helical-indexing-hi3d.streamlit.app/?emd_id=emd-23689&amp;rise=4.81&amp;twist=-2.94&amp;csym=1&amp;rise2=4.81&amp;twist2=-2.94&amp;csym2=1", "Link")</f>
        <v/>
      </c>
    </row>
    <row r="367">
      <c r="A367" t="inlineStr">
        <is>
          <t>EMD-26268</t>
        </is>
      </c>
      <c r="B367" t="inlineStr">
        <is>
          <t>amyloid</t>
        </is>
      </c>
      <c r="C367" t="n">
        <v>4.2</v>
      </c>
      <c r="D367" t="n">
        <v>4.78</v>
      </c>
      <c r="E367" t="n">
        <v>-0.86</v>
      </c>
      <c r="F367" t="inlineStr">
        <is>
          <t>C1</t>
        </is>
      </c>
      <c r="G367" t="inlineStr">
        <is>
          <t>4.78</t>
        </is>
      </c>
      <c r="H367" t="n">
        <v>-0.86</v>
      </c>
      <c r="I367" t="inlineStr">
        <is>
          <t>C1</t>
        </is>
      </c>
      <c r="J367" t="n">
        <v>0</v>
      </c>
      <c r="K367" t="inlineStr"/>
      <c r="L367" t="n">
        <v>0.95734</v>
      </c>
      <c r="M367" t="n">
        <v>0.95734</v>
      </c>
      <c r="N367" t="inlineStr">
        <is>
          <t>Yes</t>
        </is>
      </c>
      <c r="O367" t="inlineStr">
        <is>
          <t>equal</t>
        </is>
      </c>
      <c r="P367" t="inlineStr">
        <is>
          <t>deposited</t>
        </is>
      </c>
      <c r="Q367" t="inlineStr"/>
      <c r="R367" t="inlineStr"/>
      <c r="S367">
        <f>HYPERLINK("https://helical-indexing-hi3d.streamlit.app/?emd_id=emd-26268&amp;rise=4.78&amp;twist=-0.86&amp;csym=1&amp;rise2=4.78&amp;twist2=-0.86&amp;csym2=1", "Link")</f>
        <v/>
      </c>
    </row>
    <row r="368">
      <c r="A368" t="inlineStr">
        <is>
          <t>EMD-10669</t>
        </is>
      </c>
      <c r="B368" t="inlineStr">
        <is>
          <t>amyloid</t>
        </is>
      </c>
      <c r="C368" t="n">
        <v>4.2</v>
      </c>
      <c r="D368" t="n">
        <v>2.351</v>
      </c>
      <c r="E368" t="n">
        <v>178.23</v>
      </c>
      <c r="F368" t="inlineStr">
        <is>
          <t>C1</t>
        </is>
      </c>
      <c r="G368" t="inlineStr">
        <is>
          <t>2.351</t>
        </is>
      </c>
      <c r="H368" t="n">
        <v>-178.23</v>
      </c>
      <c r="I368" t="inlineStr">
        <is>
          <t>C1</t>
        </is>
      </c>
      <c r="J368" t="n">
        <v>0.8738213956497504</v>
      </c>
      <c r="K368" t="inlineStr">
        <is>
          <t> </t>
        </is>
      </c>
      <c r="L368" t="n">
        <v>0.36675</v>
      </c>
      <c r="M368" t="n">
        <v>0.88652</v>
      </c>
      <c r="N368" t="inlineStr">
        <is>
          <t>Yes</t>
        </is>
      </c>
      <c r="O368" t="inlineStr">
        <is>
          <t>improve</t>
        </is>
      </c>
      <c r="P368" t="inlineStr">
        <is>
          <t>twist sign</t>
        </is>
      </c>
      <c r="Q368" t="inlineStr"/>
      <c r="R368" t="inlineStr"/>
      <c r="S368">
        <f>HYPERLINK("https://helical-indexing-hi3d.streamlit.app/?emd_id=emd-10669&amp;rise=2.351&amp;twist=-178.23&amp;csym=1&amp;rise2=2.351&amp;twist2=178.23&amp;csym2=1", "Link")</f>
        <v/>
      </c>
    </row>
    <row r="369">
      <c r="A369" t="inlineStr">
        <is>
          <t>EMD-16957</t>
        </is>
      </c>
      <c r="B369" t="inlineStr">
        <is>
          <t>amyloid</t>
        </is>
      </c>
      <c r="C369" t="n">
        <v>4.2</v>
      </c>
      <c r="D369" t="n">
        <v>4.63</v>
      </c>
      <c r="E369" t="n">
        <v>-2.95</v>
      </c>
      <c r="F369" t="inlineStr">
        <is>
          <t>C1</t>
        </is>
      </c>
      <c r="G369" t="inlineStr">
        <is>
          <t>4.63</t>
        </is>
      </c>
      <c r="H369" t="n">
        <v>-2.95</v>
      </c>
      <c r="I369" t="inlineStr">
        <is>
          <t>C1</t>
        </is>
      </c>
      <c r="J369" t="n">
        <v>0</v>
      </c>
      <c r="K369" t="inlineStr"/>
      <c r="L369" t="n">
        <v>0.84589</v>
      </c>
      <c r="M369" t="n">
        <v>0.84589</v>
      </c>
      <c r="N369" t="inlineStr">
        <is>
          <t>Yes</t>
        </is>
      </c>
      <c r="O369" t="inlineStr">
        <is>
          <t>equal</t>
        </is>
      </c>
      <c r="P369" t="inlineStr">
        <is>
          <t>deposited</t>
        </is>
      </c>
      <c r="Q369" t="inlineStr"/>
      <c r="R369" t="inlineStr"/>
      <c r="S369">
        <f>HYPERLINK("https://helical-indexing-hi3d.streamlit.app/?emd_id=emd-16957&amp;rise=4.63&amp;twist=-2.95&amp;csym=1&amp;rise2=4.63&amp;twist2=-2.95&amp;csym2=1", "Link")</f>
        <v/>
      </c>
    </row>
    <row r="370">
      <c r="A370" t="inlineStr">
        <is>
          <t>EMD-27082</t>
        </is>
      </c>
      <c r="B370" t="inlineStr">
        <is>
          <t>amyloid</t>
        </is>
      </c>
      <c r="C370" t="n">
        <v>4.2</v>
      </c>
      <c r="D370" t="n">
        <v>4.84</v>
      </c>
      <c r="E370" t="n">
        <v>-0.7</v>
      </c>
      <c r="F370" t="inlineStr">
        <is>
          <t>C1</t>
        </is>
      </c>
      <c r="G370" t="inlineStr">
        <is>
          <t>4.84</t>
        </is>
      </c>
      <c r="H370" t="n">
        <v>-0.7</v>
      </c>
      <c r="I370" t="inlineStr">
        <is>
          <t>C1</t>
        </is>
      </c>
      <c r="J370" t="n">
        <v>0</v>
      </c>
      <c r="K370" t="inlineStr">
        <is>
          <t> </t>
        </is>
      </c>
      <c r="L370" t="n">
        <v>0.8477</v>
      </c>
      <c r="M370" t="n">
        <v>0.8477</v>
      </c>
      <c r="N370" t="inlineStr">
        <is>
          <t>Yes</t>
        </is>
      </c>
      <c r="O370" t="inlineStr">
        <is>
          <t>equal</t>
        </is>
      </c>
      <c r="P370" t="inlineStr">
        <is>
          <t>deposited</t>
        </is>
      </c>
      <c r="Q370" t="inlineStr"/>
      <c r="R370" t="inlineStr"/>
      <c r="S370">
        <f>HYPERLINK("https://helical-indexing-hi3d.streamlit.app/?emd_id=emd-27082&amp;rise=4.84&amp;twist=-0.7&amp;csym=1&amp;rise2=4.84&amp;twist2=-0.7&amp;csym2=1", "Link")</f>
        <v/>
      </c>
    </row>
    <row r="371">
      <c r="A371" t="inlineStr">
        <is>
          <t>EMD-12268</t>
        </is>
      </c>
      <c r="B371" t="inlineStr">
        <is>
          <t>amyloid</t>
        </is>
      </c>
      <c r="C371" t="n">
        <v>4.23</v>
      </c>
      <c r="D371" t="n">
        <v>4.8</v>
      </c>
      <c r="E371" t="n">
        <v>-0.86</v>
      </c>
      <c r="F371" t="inlineStr">
        <is>
          <t>C1</t>
        </is>
      </c>
      <c r="G371" t="inlineStr">
        <is>
          <t>4.7712</t>
        </is>
      </c>
      <c r="H371" t="n">
        <v>-0.8497</v>
      </c>
      <c r="I371" t="inlineStr">
        <is>
          <t>C1</t>
        </is>
      </c>
      <c r="J371" t="n">
        <v>0.0290338035594543</v>
      </c>
      <c r="K371" t="inlineStr">
        <is>
          <t> </t>
        </is>
      </c>
      <c r="L371" t="n">
        <v>0.42346</v>
      </c>
      <c r="M371" t="n">
        <v>0.42841</v>
      </c>
      <c r="N371" t="inlineStr">
        <is>
          <t>Excluded</t>
        </is>
      </c>
      <c r="O371" t="inlineStr"/>
      <c r="P371" t="inlineStr">
        <is>
          <t>z-shifted</t>
        </is>
      </c>
      <c r="Q371" t="inlineStr"/>
      <c r="R371" t="inlineStr"/>
      <c r="S371">
        <f>HYPERLINK("https://helical-indexing-hi3d.streamlit.app/?emd_id=emd-12268&amp;rise=4.7712&amp;twist=-0.8497&amp;csym=1&amp;rise2=4.8&amp;twist2=-0.86&amp;csym2=1", "Link")</f>
        <v/>
      </c>
    </row>
    <row r="372">
      <c r="A372" t="inlineStr">
        <is>
          <t>EMD-30622</t>
        </is>
      </c>
      <c r="B372" t="inlineStr">
        <is>
          <t>amyloid</t>
        </is>
      </c>
      <c r="C372" t="n">
        <v>4.24</v>
      </c>
      <c r="D372" t="n">
        <v>4.8</v>
      </c>
      <c r="E372" t="n">
        <v>-7.53</v>
      </c>
      <c r="F372" t="inlineStr">
        <is>
          <t>C1</t>
        </is>
      </c>
      <c r="G372" t="inlineStr">
        <is>
          <t>4.8</t>
        </is>
      </c>
      <c r="H372" t="n">
        <v>-7.53</v>
      </c>
      <c r="I372" t="inlineStr">
        <is>
          <t>C1</t>
        </is>
      </c>
      <c r="J372" t="n">
        <v>0</v>
      </c>
      <c r="K372" t="inlineStr"/>
      <c r="L372" t="n">
        <v>0.85794</v>
      </c>
      <c r="M372" t="n">
        <v>0.85794</v>
      </c>
      <c r="N372" t="inlineStr">
        <is>
          <t>Yes</t>
        </is>
      </c>
      <c r="O372" t="inlineStr">
        <is>
          <t>equal</t>
        </is>
      </c>
      <c r="P372" t="inlineStr">
        <is>
          <t>deposited</t>
        </is>
      </c>
      <c r="Q372" t="inlineStr"/>
      <c r="R372" t="inlineStr"/>
      <c r="S372">
        <f>HYPERLINK("https://helical-indexing-hi3d.streamlit.app/?emd_id=emd-30622&amp;rise=4.8&amp;twist=-7.53&amp;csym=1&amp;rise2=4.8&amp;twist2=-7.53&amp;csym2=1", "Link")</f>
        <v/>
      </c>
    </row>
    <row r="373">
      <c r="A373" t="inlineStr">
        <is>
          <t>EMD-26277</t>
        </is>
      </c>
      <c r="B373" t="inlineStr">
        <is>
          <t>amyloid</t>
        </is>
      </c>
      <c r="C373" t="n">
        <v>4.5</v>
      </c>
      <c r="D373" t="n">
        <v>4.8</v>
      </c>
      <c r="E373" t="n">
        <v>-0.4</v>
      </c>
      <c r="F373" t="inlineStr">
        <is>
          <t>C1</t>
        </is>
      </c>
      <c r="G373" t="inlineStr">
        <is>
          <t>4.8</t>
        </is>
      </c>
      <c r="H373" t="n">
        <v>-0.4</v>
      </c>
      <c r="I373" t="inlineStr">
        <is>
          <t>C1</t>
        </is>
      </c>
      <c r="J373" t="n">
        <v>0</v>
      </c>
      <c r="K373" t="inlineStr"/>
      <c r="L373" t="n">
        <v>0.95558</v>
      </c>
      <c r="M373" t="n">
        <v>0.95558</v>
      </c>
      <c r="N373" t="inlineStr">
        <is>
          <t>Yes</t>
        </is>
      </c>
      <c r="O373" t="inlineStr">
        <is>
          <t>equal</t>
        </is>
      </c>
      <c r="P373" t="inlineStr">
        <is>
          <t>deposited</t>
        </is>
      </c>
      <c r="Q373" t="inlineStr"/>
      <c r="R373" t="inlineStr"/>
      <c r="S373">
        <f>HYPERLINK("https://helical-indexing-hi3d.streamlit.app/?emd_id=emd-26277&amp;rise=4.8&amp;twist=-0.4&amp;csym=1&amp;rise2=4.8&amp;twist2=-0.4&amp;csym2=1", "Link")</f>
        <v/>
      </c>
    </row>
    <row r="374">
      <c r="A374" t="inlineStr">
        <is>
          <t>EMD-29980</t>
        </is>
      </c>
      <c r="B374" t="inlineStr">
        <is>
          <t>amyloid</t>
        </is>
      </c>
      <c r="C374" t="n">
        <v>4.8</v>
      </c>
      <c r="D374" t="n">
        <v>4.926</v>
      </c>
      <c r="E374" t="n">
        <v>-0.7</v>
      </c>
      <c r="F374" t="inlineStr">
        <is>
          <t>C1</t>
        </is>
      </c>
      <c r="G374" t="inlineStr">
        <is>
          <t>4.926</t>
        </is>
      </c>
      <c r="H374" t="n">
        <v>-0.7</v>
      </c>
      <c r="I374" t="inlineStr">
        <is>
          <t>C1</t>
        </is>
      </c>
      <c r="J374" t="n">
        <v>0</v>
      </c>
      <c r="K374" t="inlineStr"/>
      <c r="L374" t="n">
        <v>0.97958</v>
      </c>
      <c r="M374" t="n">
        <v>0.97958</v>
      </c>
      <c r="N374" t="inlineStr">
        <is>
          <t>Yes</t>
        </is>
      </c>
      <c r="O374" t="inlineStr">
        <is>
          <t>equal</t>
        </is>
      </c>
      <c r="P374" t="inlineStr">
        <is>
          <t>deposited</t>
        </is>
      </c>
      <c r="Q374" t="inlineStr"/>
      <c r="R374" t="inlineStr"/>
      <c r="S374">
        <f>HYPERLINK("https://helical-indexing-hi3d.streamlit.app/?emd_id=emd-29980&amp;rise=4.926&amp;twist=-0.7&amp;csym=1&amp;rise2=4.926&amp;twist2=-0.7&amp;csym2=1", "Link")</f>
        <v/>
      </c>
    </row>
    <row r="375">
      <c r="A375" t="inlineStr">
        <is>
          <t>EMD-34813</t>
        </is>
      </c>
      <c r="B375" t="inlineStr">
        <is>
          <t>amyloid</t>
        </is>
      </c>
      <c r="C375" t="n">
        <v>4.9</v>
      </c>
      <c r="D375" t="n">
        <v>2.75</v>
      </c>
      <c r="E375" t="n">
        <v>-179.4</v>
      </c>
      <c r="F375" t="inlineStr">
        <is>
          <t>C1</t>
        </is>
      </c>
      <c r="G375" t="inlineStr">
        <is>
          <t>2.6675</t>
        </is>
      </c>
      <c r="H375" t="n">
        <v>-179.4</v>
      </c>
      <c r="I375" t="inlineStr">
        <is>
          <t>C1</t>
        </is>
      </c>
      <c r="J375" t="n">
        <v>0.0825</v>
      </c>
      <c r="K375" t="inlineStr">
        <is>
          <t> </t>
        </is>
      </c>
      <c r="L375" t="n">
        <v>0.70368</v>
      </c>
      <c r="M375" t="n">
        <v>0.70458</v>
      </c>
      <c r="N375" t="inlineStr">
        <is>
          <t>No</t>
        </is>
      </c>
      <c r="O375" t="inlineStr">
        <is>
          <t>improve</t>
        </is>
      </c>
      <c r="P375" t="inlineStr">
        <is>
          <t>adjusted decimals</t>
        </is>
      </c>
      <c r="Q375" t="inlineStr"/>
      <c r="R375" t="inlineStr"/>
      <c r="S375">
        <f>HYPERLINK("https://helical-indexing-hi3d.streamlit.app/?emd_id=emd-34813&amp;rise=2.6675&amp;twist=-179.4&amp;csym=1&amp;rise2=2.75&amp;twist2=-179.4&amp;csym2=1", "Link")</f>
        <v/>
      </c>
    </row>
    <row r="376">
      <c r="A376" t="inlineStr">
        <is>
          <t>EMD-3132</t>
        </is>
      </c>
      <c r="B376" t="inlineStr">
        <is>
          <t>amyloid</t>
        </is>
      </c>
      <c r="C376" t="n">
        <v>7</v>
      </c>
      <c r="D376" t="n">
        <v>4.7</v>
      </c>
      <c r="E376" t="n">
        <v>0.769</v>
      </c>
      <c r="F376" t="inlineStr">
        <is>
          <t>C2</t>
        </is>
      </c>
      <c r="G376" t="inlineStr">
        <is>
          <t>4.7</t>
        </is>
      </c>
      <c r="H376" t="n">
        <v>-0.769</v>
      </c>
      <c r="I376" t="inlineStr">
        <is>
          <t>C2</t>
        </is>
      </c>
      <c r="J376" t="n">
        <v>0.3719300230859265</v>
      </c>
      <c r="K376" t="inlineStr">
        <is>
          <t> </t>
        </is>
      </c>
      <c r="L376" t="n">
        <v>0.36515</v>
      </c>
      <c r="M376" t="n">
        <v>0.99881</v>
      </c>
      <c r="N376" t="inlineStr">
        <is>
          <t>Yes</t>
        </is>
      </c>
      <c r="O376" t="inlineStr">
        <is>
          <t>improve</t>
        </is>
      </c>
      <c r="P376" t="inlineStr">
        <is>
          <t>twist sign</t>
        </is>
      </c>
      <c r="Q376" t="inlineStr"/>
      <c r="R376" t="inlineStr"/>
      <c r="S376">
        <f>HYPERLINK("https://helical-indexing-hi3d.streamlit.app/?emd_id=emd-3132&amp;rise=4.7&amp;twist=-0.769&amp;csym=2&amp;rise2=4.7&amp;twist2=0.769&amp;csym2=2", "Link")</f>
        <v/>
      </c>
    </row>
    <row r="377">
      <c r="A377" t="inlineStr">
        <is>
          <t>EMD-17021</t>
        </is>
      </c>
      <c r="B377" t="inlineStr">
        <is>
          <t>amyloid</t>
        </is>
      </c>
      <c r="C377" t="n">
        <v>2.63</v>
      </c>
      <c r="D377" t="n">
        <v>4.71</v>
      </c>
      <c r="E377" t="n">
        <v>-2.12</v>
      </c>
      <c r="F377" t="inlineStr">
        <is>
          <t>C1</t>
        </is>
      </c>
      <c r="G377" t="inlineStr">
        <is>
          <t>4.79</t>
        </is>
      </c>
      <c r="H377" t="n">
        <v>-2.12</v>
      </c>
      <c r="I377" t="inlineStr">
        <is>
          <t>C1</t>
        </is>
      </c>
      <c r="J377" t="n">
        <v>0.08</v>
      </c>
      <c r="K377" t="inlineStr"/>
      <c r="L377" t="n">
        <v>0.66365</v>
      </c>
      <c r="M377" t="n">
        <v>0.8648</v>
      </c>
      <c r="N377" t="inlineStr">
        <is>
          <t>Yes</t>
        </is>
      </c>
      <c r="O377" t="inlineStr">
        <is>
          <t>improve</t>
        </is>
      </c>
      <c r="P377" t="inlineStr">
        <is>
          <t>adjusted decimals</t>
        </is>
      </c>
      <c r="Q377" t="inlineStr"/>
      <c r="R377" t="inlineStr"/>
      <c r="S377">
        <f>HYPERLINK("https://helical-indexing-hi3d.streamlit.app/?emd_id=emd-17021&amp;rise=4.79&amp;twist=-2.12&amp;csym=1&amp;rise2=4.71&amp;twist2=-2.12&amp;csym2=1", "Link")</f>
        <v/>
      </c>
    </row>
    <row r="378">
      <c r="A378" t="inlineStr">
        <is>
          <t>EMD-17020</t>
        </is>
      </c>
      <c r="B378" t="inlineStr">
        <is>
          <t>amyloid</t>
        </is>
      </c>
      <c r="C378" t="n">
        <v>2.67</v>
      </c>
      <c r="D378" t="n">
        <v>4.78</v>
      </c>
      <c r="E378" t="n">
        <v>-2.15</v>
      </c>
      <c r="F378" t="inlineStr">
        <is>
          <t>C1</t>
        </is>
      </c>
      <c r="G378" t="inlineStr">
        <is>
          <t>4.793</t>
        </is>
      </c>
      <c r="H378" t="n">
        <v>-2.159</v>
      </c>
      <c r="I378" t="inlineStr">
        <is>
          <t>C1</t>
        </is>
      </c>
      <c r="J378" t="n">
        <v>0.0132729933190688</v>
      </c>
      <c r="K378" t="inlineStr"/>
      <c r="L378" t="n">
        <v>0.76846</v>
      </c>
      <c r="M378" t="n">
        <v>0.76973</v>
      </c>
      <c r="N378" t="inlineStr">
        <is>
          <t>Yes</t>
        </is>
      </c>
      <c r="O378" t="inlineStr">
        <is>
          <t>improve</t>
        </is>
      </c>
      <c r="P378" t="inlineStr">
        <is>
          <t>adjusted decimals</t>
        </is>
      </c>
      <c r="Q378" t="inlineStr"/>
      <c r="R378" t="inlineStr"/>
      <c r="S378">
        <f>HYPERLINK("https://helical-indexing-hi3d.streamlit.app/?emd_id=emd-17020&amp;rise=4.793&amp;twist=-2.159&amp;csym=1&amp;rise2=4.78&amp;twist2=-2.15&amp;csym2=1", "Link")</f>
        <v/>
      </c>
    </row>
    <row r="379">
      <c r="A379" t="inlineStr">
        <is>
          <t>EMD-26290</t>
        </is>
      </c>
      <c r="B379" t="inlineStr">
        <is>
          <t>amyloid</t>
        </is>
      </c>
      <c r="C379" t="n">
        <v>2.8</v>
      </c>
      <c r="D379" t="n">
        <v>4.8</v>
      </c>
      <c r="E379" t="n">
        <v>-0.4</v>
      </c>
      <c r="F379" t="inlineStr">
        <is>
          <t>C2</t>
        </is>
      </c>
      <c r="G379" t="inlineStr">
        <is>
          <t>4.8</t>
        </is>
      </c>
      <c r="H379" t="n">
        <v>-0.4</v>
      </c>
      <c r="I379" t="inlineStr">
        <is>
          <t>C2</t>
        </is>
      </c>
      <c r="J379" t="n">
        <v>0</v>
      </c>
      <c r="K379" t="inlineStr"/>
      <c r="L379" t="n">
        <v>0.958</v>
      </c>
      <c r="M379" t="n">
        <v>0.958</v>
      </c>
      <c r="N379" t="inlineStr">
        <is>
          <t>Yes</t>
        </is>
      </c>
      <c r="O379" t="inlineStr">
        <is>
          <t>equal</t>
        </is>
      </c>
      <c r="P379" t="inlineStr">
        <is>
          <t>deposited</t>
        </is>
      </c>
      <c r="Q379" t="inlineStr"/>
      <c r="R379" t="inlineStr"/>
      <c r="S379">
        <f>HYPERLINK("https://helical-indexing-hi3d.streamlit.app/?emd_id=emd-26290&amp;rise=4.8&amp;twist=-0.4&amp;csym=2&amp;rise2=4.8&amp;twist2=-0.4&amp;csym2=2", "Link")</f>
        <v/>
      </c>
    </row>
    <row r="380">
      <c r="A380" t="inlineStr">
        <is>
          <t>EMD-16681</t>
        </is>
      </c>
      <c r="B380" t="inlineStr">
        <is>
          <t>amyloid</t>
        </is>
      </c>
      <c r="C380" t="n">
        <v>2.85</v>
      </c>
      <c r="D380" t="n">
        <v>4.996</v>
      </c>
      <c r="E380" t="n">
        <v>1.232</v>
      </c>
      <c r="F380" t="inlineStr">
        <is>
          <t>C1</t>
        </is>
      </c>
      <c r="G380" t="inlineStr">
        <is>
          <t>4.996</t>
        </is>
      </c>
      <c r="H380" t="n">
        <v>1.232</v>
      </c>
      <c r="I380" t="inlineStr">
        <is>
          <t>C1</t>
        </is>
      </c>
      <c r="J380" t="n">
        <v>0</v>
      </c>
      <c r="K380" t="inlineStr"/>
      <c r="L380" t="n">
        <v>0.95196</v>
      </c>
      <c r="M380" t="n">
        <v>0.95196</v>
      </c>
      <c r="N380" t="inlineStr">
        <is>
          <t>Yes</t>
        </is>
      </c>
      <c r="O380" t="inlineStr">
        <is>
          <t>equal</t>
        </is>
      </c>
      <c r="P380" t="inlineStr">
        <is>
          <t>deposited</t>
        </is>
      </c>
      <c r="Q380" t="inlineStr"/>
      <c r="R380" t="inlineStr"/>
      <c r="S380">
        <f>HYPERLINK("https://helical-indexing-hi3d.streamlit.app/?emd_id=emd-16681&amp;rise=4.996&amp;twist=1.232&amp;csym=1&amp;rise2=4.996&amp;twist2=1.232&amp;csym2=1", "Link")</f>
        <v/>
      </c>
    </row>
    <row r="381">
      <c r="A381" t="inlineStr">
        <is>
          <t>EMD-17738</t>
        </is>
      </c>
      <c r="B381" t="inlineStr">
        <is>
          <t>amyloid</t>
        </is>
      </c>
      <c r="C381" t="n">
        <v>2.99</v>
      </c>
      <c r="D381" t="n">
        <v>4.81</v>
      </c>
      <c r="E381" t="n">
        <v>-1.24</v>
      </c>
      <c r="F381" t="inlineStr">
        <is>
          <t>C1</t>
        </is>
      </c>
      <c r="G381" t="inlineStr">
        <is>
          <t>4.81</t>
        </is>
      </c>
      <c r="H381" t="n">
        <v>-1.24</v>
      </c>
      <c r="I381" t="inlineStr">
        <is>
          <t>C1</t>
        </is>
      </c>
      <c r="J381" t="n">
        <v>0</v>
      </c>
      <c r="K381" t="inlineStr"/>
      <c r="L381" t="n">
        <v>0.82011</v>
      </c>
      <c r="M381" t="n">
        <v>0.82011</v>
      </c>
      <c r="N381" t="inlineStr">
        <is>
          <t>Yes</t>
        </is>
      </c>
      <c r="O381" t="inlineStr">
        <is>
          <t>equal</t>
        </is>
      </c>
      <c r="P381" t="inlineStr">
        <is>
          <t>deposited</t>
        </is>
      </c>
      <c r="Q381" t="inlineStr"/>
      <c r="R381" t="inlineStr"/>
      <c r="S381">
        <f>HYPERLINK("https://helical-indexing-hi3d.streamlit.app/?emd_id=emd-17738&amp;rise=4.81&amp;twist=-1.24&amp;csym=1&amp;rise2=4.81&amp;twist2=-1.24&amp;csym2=1", "Link")</f>
        <v/>
      </c>
    </row>
    <row r="382">
      <c r="A382" t="inlineStr">
        <is>
          <t>EMD-26296</t>
        </is>
      </c>
      <c r="B382" t="inlineStr">
        <is>
          <t>amyloid</t>
        </is>
      </c>
      <c r="C382" t="n">
        <v>3</v>
      </c>
      <c r="D382" t="n">
        <v>4.8</v>
      </c>
      <c r="E382" t="n">
        <v>-0.4</v>
      </c>
      <c r="F382" t="inlineStr">
        <is>
          <t>C1</t>
        </is>
      </c>
      <c r="G382" t="inlineStr">
        <is>
          <t>4.8</t>
        </is>
      </c>
      <c r="H382" t="n">
        <v>-0.4</v>
      </c>
      <c r="I382" t="inlineStr">
        <is>
          <t>C1</t>
        </is>
      </c>
      <c r="J382" t="n">
        <v>0</v>
      </c>
      <c r="K382" t="inlineStr"/>
      <c r="L382" t="n">
        <v>0.95494</v>
      </c>
      <c r="M382" t="n">
        <v>0.95494</v>
      </c>
      <c r="N382" t="inlineStr">
        <is>
          <t>Yes</t>
        </is>
      </c>
      <c r="O382" t="inlineStr">
        <is>
          <t>equal</t>
        </is>
      </c>
      <c r="P382" t="inlineStr">
        <is>
          <t>deposited</t>
        </is>
      </c>
      <c r="Q382" t="inlineStr"/>
      <c r="R382" t="inlineStr"/>
      <c r="S382">
        <f>HYPERLINK("https://helical-indexing-hi3d.streamlit.app/?emd_id=emd-26296&amp;rise=4.8&amp;twist=-0.4&amp;csym=1&amp;rise2=4.8&amp;twist2=-0.4&amp;csym2=1", "Link")</f>
        <v/>
      </c>
    </row>
    <row r="383">
      <c r="A383" t="inlineStr">
        <is>
          <t>EMD-17109</t>
        </is>
      </c>
      <c r="B383" t="inlineStr">
        <is>
          <t>amyloid</t>
        </is>
      </c>
      <c r="C383" t="n">
        <v>3.05</v>
      </c>
      <c r="D383" t="n">
        <v>4.78</v>
      </c>
      <c r="E383" t="n">
        <v>-3.06</v>
      </c>
      <c r="F383" t="inlineStr">
        <is>
          <t>C2</t>
        </is>
      </c>
      <c r="G383" t="inlineStr">
        <is>
          <t>4.85</t>
        </is>
      </c>
      <c r="H383" t="n">
        <v>-2.96</v>
      </c>
      <c r="I383" t="inlineStr">
        <is>
          <t>C2</t>
        </is>
      </c>
      <c r="J383" t="n">
        <v>0.077424599</v>
      </c>
      <c r="K383" t="inlineStr"/>
      <c r="L383" t="n">
        <v>0.80738</v>
      </c>
      <c r="M383" t="n">
        <v>0.8529099999999999</v>
      </c>
      <c r="N383" t="inlineStr">
        <is>
          <t>Yes</t>
        </is>
      </c>
      <c r="O383" t="inlineStr">
        <is>
          <t>improve</t>
        </is>
      </c>
      <c r="P383" t="inlineStr">
        <is>
          <t>adjusted decimals</t>
        </is>
      </c>
      <c r="Q383" t="inlineStr"/>
      <c r="R383" t="inlineStr"/>
      <c r="S383">
        <f>HYPERLINK("https://helical-indexing-hi3d.streamlit.app/?emd_id=emd-17109&amp;rise=4.85&amp;twist=-2.96&amp;csym=2&amp;rise2=4.78&amp;twist2=-3.06&amp;csym2=2", "Link")</f>
        <v/>
      </c>
    </row>
    <row r="384">
      <c r="A384" t="inlineStr">
        <is>
          <t>EMD-26294</t>
        </is>
      </c>
      <c r="B384" t="inlineStr">
        <is>
          <t>amyloid</t>
        </is>
      </c>
      <c r="C384" t="n">
        <v>3.1</v>
      </c>
      <c r="D384" t="n">
        <v>4.8</v>
      </c>
      <c r="E384" t="n">
        <v>-0.4</v>
      </c>
      <c r="F384" t="inlineStr">
        <is>
          <t>C2</t>
        </is>
      </c>
      <c r="G384" t="inlineStr">
        <is>
          <t>4.8</t>
        </is>
      </c>
      <c r="H384" t="n">
        <v>-0.4</v>
      </c>
      <c r="I384" t="inlineStr">
        <is>
          <t>C2</t>
        </is>
      </c>
      <c r="J384" t="n">
        <v>0</v>
      </c>
      <c r="K384" t="inlineStr"/>
      <c r="L384" t="n">
        <v>0.96369</v>
      </c>
      <c r="M384" t="n">
        <v>0.96369</v>
      </c>
      <c r="N384" t="inlineStr">
        <is>
          <t>Yes</t>
        </is>
      </c>
      <c r="O384" t="inlineStr">
        <is>
          <t>equal</t>
        </is>
      </c>
      <c r="P384" t="inlineStr">
        <is>
          <t>deposited</t>
        </is>
      </c>
      <c r="Q384" t="inlineStr"/>
      <c r="R384" t="inlineStr"/>
      <c r="S384">
        <f>HYPERLINK("https://helical-indexing-hi3d.streamlit.app/?emd_id=emd-26294&amp;rise=4.8&amp;twist=-0.4&amp;csym=2&amp;rise2=4.8&amp;twist2=-0.4&amp;csym2=2", "Link")</f>
        <v/>
      </c>
    </row>
    <row r="385">
      <c r="A385" t="inlineStr">
        <is>
          <t>EMD-19446</t>
        </is>
      </c>
      <c r="B385" t="inlineStr">
        <is>
          <t>amyloid</t>
        </is>
      </c>
      <c r="C385" t="n">
        <v>3.2</v>
      </c>
      <c r="D385" t="n">
        <v>4.74</v>
      </c>
      <c r="E385" t="n">
        <v>-1.33</v>
      </c>
      <c r="F385" t="inlineStr">
        <is>
          <t>C2</t>
        </is>
      </c>
      <c r="G385" t="inlineStr">
        <is>
          <t>4.74</t>
        </is>
      </c>
      <c r="H385" t="n">
        <v>-1.33</v>
      </c>
      <c r="I385" t="inlineStr">
        <is>
          <t>C2</t>
        </is>
      </c>
      <c r="J385" t="n">
        <v>0</v>
      </c>
      <c r="K385" t="inlineStr"/>
      <c r="L385" t="n">
        <v>0.81896</v>
      </c>
      <c r="M385" t="n">
        <v>0.81896</v>
      </c>
      <c r="N385" t="inlineStr">
        <is>
          <t>Yes</t>
        </is>
      </c>
      <c r="O385" t="inlineStr">
        <is>
          <t>equal</t>
        </is>
      </c>
      <c r="P385" t="inlineStr">
        <is>
          <t>deposited</t>
        </is>
      </c>
      <c r="Q385" t="inlineStr"/>
      <c r="R385" t="inlineStr"/>
      <c r="S385">
        <f>HYPERLINK("https://helical-indexing-hi3d.streamlit.app/?emd_id=emd-19446&amp;rise=4.74&amp;twist=-1.33&amp;csym=2&amp;rise2=4.74&amp;twist2=-1.33&amp;csym2=2", "Link")</f>
        <v/>
      </c>
    </row>
    <row r="386">
      <c r="A386" t="inlineStr">
        <is>
          <t>EMD-26295</t>
        </is>
      </c>
      <c r="B386" t="inlineStr">
        <is>
          <t>amyloid</t>
        </is>
      </c>
      <c r="C386" t="n">
        <v>3.4</v>
      </c>
      <c r="D386" t="n">
        <v>4.8</v>
      </c>
      <c r="E386" t="n">
        <v>-0.4</v>
      </c>
      <c r="F386" t="inlineStr">
        <is>
          <t>C1</t>
        </is>
      </c>
      <c r="G386" t="inlineStr">
        <is>
          <t>4.8</t>
        </is>
      </c>
      <c r="H386" t="n">
        <v>-0.4</v>
      </c>
      <c r="I386" t="inlineStr">
        <is>
          <t>C1</t>
        </is>
      </c>
      <c r="J386" t="n">
        <v>0</v>
      </c>
      <c r="K386" t="inlineStr"/>
      <c r="L386" t="n">
        <v>0.95441</v>
      </c>
      <c r="M386" t="n">
        <v>0.95441</v>
      </c>
      <c r="N386" t="inlineStr">
        <is>
          <t>Yes</t>
        </is>
      </c>
      <c r="O386" t="inlineStr">
        <is>
          <t>equal</t>
        </is>
      </c>
      <c r="P386" t="inlineStr">
        <is>
          <t>deposited</t>
        </is>
      </c>
      <c r="Q386" t="inlineStr"/>
      <c r="R386" t="inlineStr"/>
      <c r="S386">
        <f>HYPERLINK("https://helical-indexing-hi3d.streamlit.app/?emd_id=emd-26295&amp;rise=4.8&amp;twist=-0.4&amp;csym=1&amp;rise2=4.8&amp;twist2=-0.4&amp;csym2=1", "Link")</f>
        <v/>
      </c>
    </row>
    <row r="387">
      <c r="A387" t="inlineStr">
        <is>
          <t>EMD-19462</t>
        </is>
      </c>
      <c r="B387" t="inlineStr">
        <is>
          <t>amyloid</t>
        </is>
      </c>
      <c r="C387" t="n">
        <v>3.4</v>
      </c>
      <c r="D387" t="n">
        <v>4.76</v>
      </c>
      <c r="E387" t="n">
        <v>-0.82</v>
      </c>
      <c r="F387" t="inlineStr">
        <is>
          <t>C2</t>
        </is>
      </c>
      <c r="G387" t="inlineStr">
        <is>
          <t>4.76</t>
        </is>
      </c>
      <c r="H387" t="n">
        <v>-0.82</v>
      </c>
      <c r="I387" t="inlineStr">
        <is>
          <t>C2</t>
        </is>
      </c>
      <c r="J387" t="n">
        <v>0</v>
      </c>
      <c r="K387" t="inlineStr"/>
      <c r="L387" t="n">
        <v>0.95789</v>
      </c>
      <c r="M387" t="n">
        <v>0.95789</v>
      </c>
      <c r="N387" t="inlineStr">
        <is>
          <t>Yes</t>
        </is>
      </c>
      <c r="O387" t="inlineStr">
        <is>
          <t>equal</t>
        </is>
      </c>
      <c r="P387" t="inlineStr">
        <is>
          <t>deposited</t>
        </is>
      </c>
      <c r="Q387" t="inlineStr"/>
      <c r="R387" t="inlineStr"/>
      <c r="S387">
        <f>HYPERLINK("https://helical-indexing-hi3d.streamlit.app/?emd_id=emd-19462&amp;rise=4.76&amp;twist=-0.82&amp;csym=2&amp;rise2=4.76&amp;twist2=-0.82&amp;csym2=2", "Link")</f>
        <v/>
      </c>
    </row>
    <row r="388">
      <c r="A388" t="inlineStr">
        <is>
          <t>EMD-29920</t>
        </is>
      </c>
      <c r="B388" t="inlineStr">
        <is>
          <t>amyloid</t>
        </is>
      </c>
      <c r="C388" t="n">
        <v>3.4</v>
      </c>
      <c r="D388" t="n">
        <v>4.898</v>
      </c>
      <c r="E388" t="n">
        <v>-1.245</v>
      </c>
      <c r="F388" t="inlineStr">
        <is>
          <t>C1</t>
        </is>
      </c>
      <c r="G388" t="inlineStr">
        <is>
          <t>4.898</t>
        </is>
      </c>
      <c r="H388" t="n">
        <v>-1.245</v>
      </c>
      <c r="I388" t="inlineStr">
        <is>
          <t>C1</t>
        </is>
      </c>
      <c r="J388" t="n">
        <v>0</v>
      </c>
      <c r="K388" t="inlineStr"/>
      <c r="L388" t="n">
        <v>0.96959</v>
      </c>
      <c r="M388" t="n">
        <v>0.96959</v>
      </c>
      <c r="N388" t="inlineStr">
        <is>
          <t>Yes</t>
        </is>
      </c>
      <c r="O388" t="inlineStr">
        <is>
          <t>equal</t>
        </is>
      </c>
      <c r="P388" t="inlineStr">
        <is>
          <t>deposited</t>
        </is>
      </c>
      <c r="Q388" t="inlineStr"/>
      <c r="R388" t="inlineStr"/>
      <c r="S388">
        <f>HYPERLINK("https://helical-indexing-hi3d.streamlit.app/?emd_id=emd-29920&amp;rise=4.898&amp;twist=-1.245&amp;csym=1&amp;rise2=4.898&amp;twist2=-1.245&amp;csym2=1", "Link")</f>
        <v/>
      </c>
    </row>
    <row r="389">
      <c r="A389" t="inlineStr">
        <is>
          <t>EMD-26286</t>
        </is>
      </c>
      <c r="B389" t="inlineStr">
        <is>
          <t>amyloid</t>
        </is>
      </c>
      <c r="C389" t="n">
        <v>3.6</v>
      </c>
      <c r="D389" t="n">
        <v>4.8</v>
      </c>
      <c r="E389" t="n">
        <v>-0.4</v>
      </c>
      <c r="F389" t="inlineStr">
        <is>
          <t>C2</t>
        </is>
      </c>
      <c r="G389" t="inlineStr">
        <is>
          <t>4.8</t>
        </is>
      </c>
      <c r="H389" t="n">
        <v>-0.4</v>
      </c>
      <c r="I389" t="inlineStr">
        <is>
          <t>C2</t>
        </is>
      </c>
      <c r="J389" t="n">
        <v>0</v>
      </c>
      <c r="K389" t="inlineStr"/>
      <c r="L389" t="n">
        <v>0.96523</v>
      </c>
      <c r="M389" t="n">
        <v>0.96523</v>
      </c>
      <c r="N389" t="inlineStr">
        <is>
          <t>Yes</t>
        </is>
      </c>
      <c r="O389" t="inlineStr">
        <is>
          <t>equal</t>
        </is>
      </c>
      <c r="P389" t="inlineStr">
        <is>
          <t>deposited</t>
        </is>
      </c>
      <c r="Q389" t="inlineStr"/>
      <c r="R389" t="inlineStr"/>
      <c r="S389">
        <f>HYPERLINK("https://helical-indexing-hi3d.streamlit.app/?emd_id=emd-26286&amp;rise=4.8&amp;twist=-0.4&amp;csym=2&amp;rise2=4.8&amp;twist2=-0.4&amp;csym2=2", "Link")</f>
        <v/>
      </c>
    </row>
    <row r="390">
      <c r="A390" t="inlineStr">
        <is>
          <t>EMD-26285</t>
        </is>
      </c>
      <c r="B390" t="inlineStr">
        <is>
          <t>amyloid</t>
        </is>
      </c>
      <c r="C390" t="n">
        <v>3.6</v>
      </c>
      <c r="D390" t="n">
        <v>4.8</v>
      </c>
      <c r="E390" t="n">
        <v>-0.4</v>
      </c>
      <c r="F390" t="inlineStr">
        <is>
          <t>C1</t>
        </is>
      </c>
      <c r="G390" t="inlineStr">
        <is>
          <t>4.8</t>
        </is>
      </c>
      <c r="H390" t="n">
        <v>-0.4</v>
      </c>
      <c r="I390" t="inlineStr">
        <is>
          <t>C1</t>
        </is>
      </c>
      <c r="J390" t="n">
        <v>0</v>
      </c>
      <c r="K390" t="inlineStr">
        <is>
          <t> </t>
        </is>
      </c>
      <c r="L390" t="n">
        <v>0.95591</v>
      </c>
      <c r="M390" t="n">
        <v>0.95591</v>
      </c>
      <c r="N390" t="inlineStr">
        <is>
          <t>Yes</t>
        </is>
      </c>
      <c r="O390" t="inlineStr">
        <is>
          <t>equal</t>
        </is>
      </c>
      <c r="P390" t="inlineStr">
        <is>
          <t>deposited</t>
        </is>
      </c>
      <c r="Q390" t="inlineStr"/>
      <c r="R390" t="inlineStr"/>
      <c r="S390">
        <f>HYPERLINK("https://helical-indexing-hi3d.streamlit.app/?emd_id=emd-26285&amp;rise=4.8&amp;twist=-0.4&amp;csym=1&amp;rise2=4.8&amp;twist2=-0.4&amp;csym2=1", "Link")</f>
        <v/>
      </c>
    </row>
    <row r="391">
      <c r="A391" t="inlineStr">
        <is>
          <t>EMD-18226</t>
        </is>
      </c>
      <c r="B391" t="inlineStr">
        <is>
          <t>amyloid</t>
        </is>
      </c>
      <c r="C391" t="n">
        <v>3.7</v>
      </c>
      <c r="D391" t="n">
        <v>4.82</v>
      </c>
      <c r="E391" t="n">
        <v>-3.06</v>
      </c>
      <c r="F391" t="inlineStr">
        <is>
          <t>C2</t>
        </is>
      </c>
      <c r="G391" t="inlineStr">
        <is>
          <t>4.82</t>
        </is>
      </c>
      <c r="H391" t="n">
        <v>-3.06</v>
      </c>
      <c r="I391" t="inlineStr">
        <is>
          <t>C2</t>
        </is>
      </c>
      <c r="J391" t="n">
        <v>0</v>
      </c>
      <c r="K391" t="inlineStr"/>
      <c r="L391" t="n">
        <v>0.88484</v>
      </c>
      <c r="M391" t="n">
        <v>0.88484</v>
      </c>
      <c r="N391" t="inlineStr">
        <is>
          <t>Yes</t>
        </is>
      </c>
      <c r="O391" t="inlineStr">
        <is>
          <t>equal</t>
        </is>
      </c>
      <c r="P391" t="inlineStr">
        <is>
          <t>deposited</t>
        </is>
      </c>
      <c r="Q391" t="inlineStr"/>
      <c r="R391" t="inlineStr"/>
      <c r="S391">
        <f>HYPERLINK("https://helical-indexing-hi3d.streamlit.app/?emd_id=emd-18226&amp;rise=4.82&amp;twist=-3.06&amp;csym=2&amp;rise2=4.82&amp;twist2=-3.06&amp;csym2=2", "Link")</f>
        <v/>
      </c>
    </row>
    <row r="392">
      <c r="A392" t="inlineStr">
        <is>
          <t>EMD-18364</t>
        </is>
      </c>
      <c r="B392" t="inlineStr">
        <is>
          <t>amyloid</t>
        </is>
      </c>
      <c r="C392" t="n">
        <v>3.86</v>
      </c>
      <c r="D392" t="n">
        <v>4.79</v>
      </c>
      <c r="E392" t="n">
        <v>-1.2</v>
      </c>
      <c r="F392" t="inlineStr">
        <is>
          <t>C1</t>
        </is>
      </c>
      <c r="G392" t="inlineStr">
        <is>
          <t>4.6463</t>
        </is>
      </c>
      <c r="H392" t="n">
        <v>-1.164</v>
      </c>
      <c r="I392" t="inlineStr">
        <is>
          <t>C1</t>
        </is>
      </c>
      <c r="J392" t="n">
        <v>0.144569022</v>
      </c>
      <c r="K392" t="inlineStr">
        <is>
          <t> </t>
        </is>
      </c>
      <c r="L392" t="n">
        <v>1</v>
      </c>
      <c r="M392" t="n">
        <v>1</v>
      </c>
      <c r="N392" t="inlineStr">
        <is>
          <t>Excluded</t>
        </is>
      </c>
      <c r="O392" t="inlineStr"/>
      <c r="P392" t="inlineStr">
        <is>
          <t>wrong voxel size</t>
        </is>
      </c>
      <c r="Q392" t="inlineStr"/>
      <c r="R392" t="inlineStr"/>
      <c r="S392">
        <f>HYPERLINK("https://helical-indexing-hi3d.streamlit.app/?emd_id=emd-18364&amp;rise=4.6463&amp;twist=-1.164&amp;csym=1&amp;rise2=4.79&amp;twist2=-1.2&amp;csym2=1", "Link")</f>
        <v/>
      </c>
    </row>
    <row r="393">
      <c r="A393" t="inlineStr">
        <is>
          <t>EMD-15227</t>
        </is>
      </c>
      <c r="B393" t="inlineStr">
        <is>
          <t>amyloid</t>
        </is>
      </c>
      <c r="C393" t="n">
        <v>3.9</v>
      </c>
      <c r="D393" t="n">
        <v>4.79</v>
      </c>
      <c r="E393" t="n">
        <v>-1.516</v>
      </c>
      <c r="F393" t="inlineStr">
        <is>
          <t>C1</t>
        </is>
      </c>
      <c r="G393" t="inlineStr">
        <is>
          <t>4.79</t>
        </is>
      </c>
      <c r="H393" t="n">
        <v>-1.516</v>
      </c>
      <c r="I393" t="inlineStr">
        <is>
          <t>C1</t>
        </is>
      </c>
      <c r="J393" t="n">
        <v>0</v>
      </c>
      <c r="K393" t="inlineStr"/>
      <c r="L393" t="n">
        <v>0.95355</v>
      </c>
      <c r="M393" t="n">
        <v>0.95355</v>
      </c>
      <c r="N393" t="inlineStr">
        <is>
          <t>Yes</t>
        </is>
      </c>
      <c r="O393" t="inlineStr">
        <is>
          <t>equal</t>
        </is>
      </c>
      <c r="P393" t="inlineStr">
        <is>
          <t>deposited</t>
        </is>
      </c>
      <c r="Q393" t="inlineStr"/>
      <c r="R393" t="inlineStr"/>
      <c r="S393">
        <f>HYPERLINK("https://helical-indexing-hi3d.streamlit.app/?emd_id=emd-15227&amp;rise=4.79&amp;twist=-1.516&amp;csym=1&amp;rise2=4.79&amp;twist2=-1.516&amp;csym2=1", "Link")</f>
        <v/>
      </c>
    </row>
    <row r="394">
      <c r="A394" t="inlineStr">
        <is>
          <t>EMD-15226</t>
        </is>
      </c>
      <c r="B394" t="inlineStr">
        <is>
          <t>amyloid</t>
        </is>
      </c>
      <c r="C394" t="n">
        <v>4.1</v>
      </c>
      <c r="D394" t="n">
        <v>4.8</v>
      </c>
      <c r="E394" t="n">
        <v>-1.416</v>
      </c>
      <c r="F394" t="inlineStr">
        <is>
          <t>C1</t>
        </is>
      </c>
      <c r="G394" t="inlineStr">
        <is>
          <t>4.8</t>
        </is>
      </c>
      <c r="H394" t="n">
        <v>-1.416</v>
      </c>
      <c r="I394" t="inlineStr">
        <is>
          <t>C1</t>
        </is>
      </c>
      <c r="J394" t="n">
        <v>0</v>
      </c>
      <c r="K394" t="inlineStr"/>
      <c r="L394" t="n">
        <v>0.9528799999999999</v>
      </c>
      <c r="M394" t="n">
        <v>0.9528799999999999</v>
      </c>
      <c r="N394" t="inlineStr">
        <is>
          <t>Yes</t>
        </is>
      </c>
      <c r="O394" t="inlineStr">
        <is>
          <t>equal</t>
        </is>
      </c>
      <c r="P394" t="inlineStr">
        <is>
          <t>deposited</t>
        </is>
      </c>
      <c r="Q394" t="inlineStr"/>
      <c r="R394" t="inlineStr"/>
      <c r="S394">
        <f>HYPERLINK("https://helical-indexing-hi3d.streamlit.app/?emd_id=emd-15226&amp;rise=4.8&amp;twist=-1.416&amp;csym=1&amp;rise2=4.8&amp;twist2=-1.416&amp;csym2=1", "Link")</f>
        <v/>
      </c>
    </row>
    <row r="395">
      <c r="A395" t="inlineStr">
        <is>
          <t>EMD-18354</t>
        </is>
      </c>
      <c r="B395" t="inlineStr">
        <is>
          <t>amyloid</t>
        </is>
      </c>
      <c r="C395" t="n">
        <v>4.22</v>
      </c>
      <c r="D395" t="n">
        <v>4.75</v>
      </c>
      <c r="E395" t="n">
        <v>-1.22</v>
      </c>
      <c r="F395" t="inlineStr">
        <is>
          <t>C1</t>
        </is>
      </c>
      <c r="G395" t="inlineStr">
        <is>
          <t>4.75</t>
        </is>
      </c>
      <c r="H395" t="n">
        <v>-1.22</v>
      </c>
      <c r="I395" t="inlineStr">
        <is>
          <t>C1</t>
        </is>
      </c>
      <c r="J395" t="n">
        <v>0</v>
      </c>
      <c r="K395" t="inlineStr"/>
      <c r="L395" t="n">
        <v>0.96562</v>
      </c>
      <c r="M395" t="n">
        <v>0.96562</v>
      </c>
      <c r="N395" t="inlineStr">
        <is>
          <t>Yes</t>
        </is>
      </c>
      <c r="O395" t="inlineStr">
        <is>
          <t>equal</t>
        </is>
      </c>
      <c r="P395" t="inlineStr">
        <is>
          <t>deposited</t>
        </is>
      </c>
      <c r="Q395" t="inlineStr"/>
      <c r="R395" t="inlineStr"/>
      <c r="S395">
        <f>HYPERLINK("https://helical-indexing-hi3d.streamlit.app/?emd_id=emd-18354&amp;rise=4.75&amp;twist=-1.22&amp;csym=1&amp;rise2=4.75&amp;twist2=-1.22&amp;csym2=1", "Link")</f>
        <v/>
      </c>
    </row>
    <row r="396">
      <c r="A396" t="inlineStr">
        <is>
          <t>EMD-18349</t>
        </is>
      </c>
      <c r="B396" t="inlineStr">
        <is>
          <t>amyloid</t>
        </is>
      </c>
      <c r="C396" t="n">
        <v>4.28</v>
      </c>
      <c r="D396" t="n">
        <v>4.75</v>
      </c>
      <c r="E396" t="n">
        <v>-0.78</v>
      </c>
      <c r="F396" t="inlineStr">
        <is>
          <t>C1</t>
        </is>
      </c>
      <c r="G396" t="inlineStr">
        <is>
          <t>4.75</t>
        </is>
      </c>
      <c r="H396" t="n">
        <v>-0.78</v>
      </c>
      <c r="I396" t="inlineStr">
        <is>
          <t>C1</t>
        </is>
      </c>
      <c r="J396" t="n">
        <v>0</v>
      </c>
      <c r="K396" t="inlineStr"/>
      <c r="L396" t="n">
        <v>0.96802</v>
      </c>
      <c r="M396" t="n">
        <v>0.96802</v>
      </c>
      <c r="N396" t="inlineStr">
        <is>
          <t>Yes</t>
        </is>
      </c>
      <c r="O396" t="inlineStr">
        <is>
          <t>equal</t>
        </is>
      </c>
      <c r="P396" t="inlineStr">
        <is>
          <t>deposited</t>
        </is>
      </c>
      <c r="Q396" t="inlineStr"/>
      <c r="R396" t="inlineStr"/>
      <c r="S396">
        <f>HYPERLINK("https://helical-indexing-hi3d.streamlit.app/?emd_id=emd-18349&amp;rise=4.75&amp;twist=-0.78&amp;csym=1&amp;rise2=4.75&amp;twist2=-0.78&amp;csym2=1", "Link")</f>
        <v/>
      </c>
    </row>
    <row r="397">
      <c r="A397" t="inlineStr">
        <is>
          <t>EMD-26293</t>
        </is>
      </c>
      <c r="B397" t="inlineStr">
        <is>
          <t>amyloid</t>
        </is>
      </c>
      <c r="C397" t="n">
        <v>4.3</v>
      </c>
      <c r="D397" t="n">
        <v>4.8</v>
      </c>
      <c r="E397" t="n">
        <v>-0.4</v>
      </c>
      <c r="F397" t="inlineStr">
        <is>
          <t>C2</t>
        </is>
      </c>
      <c r="G397" t="inlineStr">
        <is>
          <t>4.8</t>
        </is>
      </c>
      <c r="H397" t="n">
        <v>-0.4</v>
      </c>
      <c r="I397" t="inlineStr">
        <is>
          <t>C2</t>
        </is>
      </c>
      <c r="J397" t="n">
        <v>0</v>
      </c>
      <c r="K397" t="inlineStr"/>
      <c r="L397" t="n">
        <v>0.9651</v>
      </c>
      <c r="M397" t="n">
        <v>0.9651</v>
      </c>
      <c r="N397" t="inlineStr">
        <is>
          <t>Yes</t>
        </is>
      </c>
      <c r="O397" t="inlineStr">
        <is>
          <t>equal</t>
        </is>
      </c>
      <c r="P397" t="inlineStr">
        <is>
          <t>deposited</t>
        </is>
      </c>
      <c r="Q397" t="inlineStr"/>
      <c r="R397" t="inlineStr"/>
      <c r="S397">
        <f>HYPERLINK("https://helical-indexing-hi3d.streamlit.app/?emd_id=emd-26293&amp;rise=4.8&amp;twist=-0.4&amp;csym=2&amp;rise2=4.8&amp;twist2=-0.4&amp;csym2=2", "Link")</f>
        <v/>
      </c>
    </row>
    <row r="398">
      <c r="A398" t="inlineStr">
        <is>
          <t>EMD-26284</t>
        </is>
      </c>
      <c r="B398" t="inlineStr">
        <is>
          <t>amyloid</t>
        </is>
      </c>
      <c r="C398" t="n">
        <v>4.4</v>
      </c>
      <c r="D398" t="n">
        <v>4.76</v>
      </c>
      <c r="E398" t="n">
        <v>-0.39</v>
      </c>
      <c r="F398" t="inlineStr">
        <is>
          <t>C1</t>
        </is>
      </c>
      <c r="G398" t="inlineStr">
        <is>
          <t>4.76</t>
        </is>
      </c>
      <c r="H398" t="n">
        <v>-0.39</v>
      </c>
      <c r="I398" t="inlineStr">
        <is>
          <t>C1</t>
        </is>
      </c>
      <c r="J398" t="n">
        <v>0</v>
      </c>
      <c r="K398" t="inlineStr"/>
      <c r="L398" t="n">
        <v>0.95563</v>
      </c>
      <c r="M398" t="n">
        <v>0.95563</v>
      </c>
      <c r="N398" t="inlineStr">
        <is>
          <t>Yes</t>
        </is>
      </c>
      <c r="O398" t="inlineStr">
        <is>
          <t>equal</t>
        </is>
      </c>
      <c r="P398" t="inlineStr">
        <is>
          <t>deposited</t>
        </is>
      </c>
      <c r="Q398" t="inlineStr"/>
      <c r="R398" t="inlineStr"/>
      <c r="S398">
        <f>HYPERLINK("https://helical-indexing-hi3d.streamlit.app/?emd_id=emd-26284&amp;rise=4.76&amp;twist=-0.39&amp;csym=1&amp;rise2=4.76&amp;twist2=-0.39&amp;csym2=1", "Link")</f>
        <v/>
      </c>
    </row>
    <row r="399">
      <c r="A399" t="inlineStr">
        <is>
          <t>EMD-26287</t>
        </is>
      </c>
      <c r="B399" t="inlineStr">
        <is>
          <t>amyloid</t>
        </is>
      </c>
      <c r="C399" t="n">
        <v>4.4</v>
      </c>
      <c r="D399" t="n">
        <v>4.8</v>
      </c>
      <c r="E399" t="n">
        <v>-0.4</v>
      </c>
      <c r="F399" t="inlineStr">
        <is>
          <t>C2</t>
        </is>
      </c>
      <c r="G399" t="inlineStr">
        <is>
          <t>4.8</t>
        </is>
      </c>
      <c r="H399" t="n">
        <v>-0.4</v>
      </c>
      <c r="I399" t="inlineStr">
        <is>
          <t>C2</t>
        </is>
      </c>
      <c r="J399" t="n">
        <v>0</v>
      </c>
      <c r="K399" t="inlineStr"/>
      <c r="L399" t="n">
        <v>0.9653</v>
      </c>
      <c r="M399" t="n">
        <v>0.9653</v>
      </c>
      <c r="N399" t="inlineStr">
        <is>
          <t>Yes</t>
        </is>
      </c>
      <c r="O399" t="inlineStr">
        <is>
          <t>equal</t>
        </is>
      </c>
      <c r="P399" t="inlineStr">
        <is>
          <t>deposited</t>
        </is>
      </c>
      <c r="Q399" t="inlineStr"/>
      <c r="R399" t="inlineStr"/>
      <c r="S399">
        <f>HYPERLINK("https://helical-indexing-hi3d.streamlit.app/?emd_id=emd-26287&amp;rise=4.8&amp;twist=-0.4&amp;csym=2&amp;rise2=4.8&amp;twist2=-0.4&amp;csym2=2", "Link")</f>
        <v/>
      </c>
    </row>
    <row r="400">
      <c r="A400" t="inlineStr">
        <is>
          <t>EMD-26292</t>
        </is>
      </c>
      <c r="B400" t="inlineStr">
        <is>
          <t>amyloid</t>
        </is>
      </c>
      <c r="C400" t="n">
        <v>4.5</v>
      </c>
      <c r="D400" t="n">
        <v>4.8</v>
      </c>
      <c r="E400" t="n">
        <v>-0.4</v>
      </c>
      <c r="F400" t="inlineStr">
        <is>
          <t>C1</t>
        </is>
      </c>
      <c r="G400" t="inlineStr">
        <is>
          <t>4.8</t>
        </is>
      </c>
      <c r="H400" t="n">
        <v>-0.4</v>
      </c>
      <c r="I400" t="inlineStr">
        <is>
          <t>C1</t>
        </is>
      </c>
      <c r="J400" t="n">
        <v>0</v>
      </c>
      <c r="K400" t="inlineStr"/>
      <c r="L400" t="n">
        <v>0.95377</v>
      </c>
      <c r="M400" t="n">
        <v>0.95377</v>
      </c>
      <c r="N400" t="inlineStr">
        <is>
          <t>Yes</t>
        </is>
      </c>
      <c r="O400" t="inlineStr">
        <is>
          <t>equal</t>
        </is>
      </c>
      <c r="P400" t="inlineStr">
        <is>
          <t>deposited</t>
        </is>
      </c>
      <c r="Q400" t="inlineStr"/>
      <c r="R400" t="inlineStr"/>
      <c r="S400">
        <f>HYPERLINK("https://helical-indexing-hi3d.streamlit.app/?emd_id=emd-26292&amp;rise=4.8&amp;twist=-0.4&amp;csym=1&amp;rise2=4.8&amp;twist2=-0.4&amp;csym2=1", "Link")</f>
        <v/>
      </c>
    </row>
    <row r="401">
      <c r="A401" t="inlineStr">
        <is>
          <t>EMD-18355</t>
        </is>
      </c>
      <c r="B401" t="inlineStr">
        <is>
          <t>amyloid</t>
        </is>
      </c>
      <c r="C401" t="n">
        <v>4.59</v>
      </c>
      <c r="D401" t="n">
        <v>4.75</v>
      </c>
      <c r="E401" t="n">
        <v>-1.14</v>
      </c>
      <c r="F401" t="inlineStr">
        <is>
          <t>C1</t>
        </is>
      </c>
      <c r="G401" t="inlineStr">
        <is>
          <t>4.75</t>
        </is>
      </c>
      <c r="H401" t="n">
        <v>-1.14</v>
      </c>
      <c r="I401" t="inlineStr">
        <is>
          <t>C1</t>
        </is>
      </c>
      <c r="J401" t="n">
        <v>0</v>
      </c>
      <c r="K401" t="inlineStr"/>
      <c r="L401" t="n">
        <v>0.95647</v>
      </c>
      <c r="M401" t="n">
        <v>0.95647</v>
      </c>
      <c r="N401" t="inlineStr">
        <is>
          <t>Yes</t>
        </is>
      </c>
      <c r="O401" t="inlineStr">
        <is>
          <t>equal</t>
        </is>
      </c>
      <c r="P401" t="inlineStr">
        <is>
          <t>deposited</t>
        </is>
      </c>
      <c r="Q401" t="inlineStr"/>
      <c r="R401" t="inlineStr"/>
      <c r="S401">
        <f>HYPERLINK("https://helical-indexing-hi3d.streamlit.app/?emd_id=emd-18355&amp;rise=4.75&amp;twist=-1.14&amp;csym=1&amp;rise2=4.75&amp;twist2=-1.14&amp;csym2=1", "Link")</f>
        <v/>
      </c>
    </row>
    <row r="402">
      <c r="A402" t="inlineStr">
        <is>
          <t>EMD-18365</t>
        </is>
      </c>
      <c r="B402" t="inlineStr">
        <is>
          <t>amyloid</t>
        </is>
      </c>
      <c r="C402" t="n">
        <v>5.27</v>
      </c>
      <c r="D402" t="n">
        <v>4.84</v>
      </c>
      <c r="E402" t="n">
        <v>-1.25</v>
      </c>
      <c r="F402" t="inlineStr">
        <is>
          <t>C1</t>
        </is>
      </c>
      <c r="G402" t="inlineStr">
        <is>
          <t>4.84</t>
        </is>
      </c>
      <c r="H402" t="n">
        <v>-1.25</v>
      </c>
      <c r="I402" t="inlineStr">
        <is>
          <t>C1</t>
        </is>
      </c>
      <c r="J402" t="n">
        <v>0</v>
      </c>
      <c r="K402" t="inlineStr"/>
      <c r="L402" t="n">
        <v>0.96475</v>
      </c>
      <c r="M402" t="n">
        <v>0.96475</v>
      </c>
      <c r="N402" t="inlineStr">
        <is>
          <t>Yes</t>
        </is>
      </c>
      <c r="O402" t="inlineStr">
        <is>
          <t>equal</t>
        </is>
      </c>
      <c r="P402" t="inlineStr">
        <is>
          <t>deposited</t>
        </is>
      </c>
      <c r="Q402" t="inlineStr"/>
      <c r="R402" t="inlineStr"/>
      <c r="S402">
        <f>HYPERLINK("https://helical-indexing-hi3d.streamlit.app/?emd_id=emd-18365&amp;rise=4.84&amp;twist=-1.25&amp;csym=1&amp;rise2=4.84&amp;twist2=-1.25&amp;csym2=1", "Link")</f>
        <v/>
      </c>
    </row>
    <row r="403">
      <c r="A403" t="inlineStr">
        <is>
          <t>EMD-18359</t>
        </is>
      </c>
      <c r="B403" t="inlineStr">
        <is>
          <t>amyloid</t>
        </is>
      </c>
      <c r="C403" t="n">
        <v>5.97</v>
      </c>
      <c r="D403" t="n">
        <v>4.75</v>
      </c>
      <c r="E403" t="n">
        <v>-1.22</v>
      </c>
      <c r="F403" t="inlineStr">
        <is>
          <t>C1</t>
        </is>
      </c>
      <c r="G403" t="inlineStr">
        <is>
          <t>4.75</t>
        </is>
      </c>
      <c r="H403" t="n">
        <v>-1.22</v>
      </c>
      <c r="I403" t="inlineStr">
        <is>
          <t>C1</t>
        </is>
      </c>
      <c r="J403" t="n">
        <v>0</v>
      </c>
      <c r="K403" t="inlineStr"/>
      <c r="L403" t="n">
        <v>0.96433</v>
      </c>
      <c r="M403" t="n">
        <v>0.96433</v>
      </c>
      <c r="N403" t="inlineStr">
        <is>
          <t>Yes</t>
        </is>
      </c>
      <c r="O403" t="inlineStr">
        <is>
          <t>equal</t>
        </is>
      </c>
      <c r="P403" t="inlineStr">
        <is>
          <t>deposited</t>
        </is>
      </c>
      <c r="Q403" t="inlineStr"/>
      <c r="R403" t="inlineStr"/>
      <c r="S403">
        <f>HYPERLINK("https://helical-indexing-hi3d.streamlit.app/?emd_id=emd-18359&amp;rise=4.75&amp;twist=-1.22&amp;csym=1&amp;rise2=4.75&amp;twist2=-1.22&amp;csym2=1", "Link")</f>
        <v/>
      </c>
    </row>
    <row r="404">
      <c r="A404" t="inlineStr">
        <is>
          <t>EMD-18361</t>
        </is>
      </c>
      <c r="B404" t="inlineStr">
        <is>
          <t>amyloid</t>
        </is>
      </c>
      <c r="C404" t="n">
        <v>5.97</v>
      </c>
      <c r="D404" t="n">
        <v>4.65</v>
      </c>
      <c r="E404" t="n">
        <v>-1.09</v>
      </c>
      <c r="F404" t="inlineStr">
        <is>
          <t>C1</t>
        </is>
      </c>
      <c r="G404" t="inlineStr">
        <is>
          <t>4.65</t>
        </is>
      </c>
      <c r="H404" t="n">
        <v>-1.09</v>
      </c>
      <c r="I404" t="inlineStr">
        <is>
          <t>C1</t>
        </is>
      </c>
      <c r="J404" t="n">
        <v>0</v>
      </c>
      <c r="K404" t="inlineStr">
        <is>
          <t> </t>
        </is>
      </c>
      <c r="L404" t="n">
        <v>0.88296</v>
      </c>
      <c r="M404" t="n">
        <v>0.88296</v>
      </c>
      <c r="N404" t="inlineStr">
        <is>
          <t>Yes</t>
        </is>
      </c>
      <c r="O404" t="inlineStr">
        <is>
          <t>equal</t>
        </is>
      </c>
      <c r="P404" t="inlineStr">
        <is>
          <t>deposited</t>
        </is>
      </c>
      <c r="Q404" t="inlineStr"/>
      <c r="R404" t="inlineStr"/>
      <c r="S404">
        <f>HYPERLINK("https://helical-indexing-hi3d.streamlit.app/?emd_id=emd-18361&amp;rise=4.65&amp;twist=-1.09&amp;csym=1&amp;rise2=4.65&amp;twist2=-1.09&amp;csym2=1", "Link")</f>
        <v/>
      </c>
    </row>
    <row r="405">
      <c r="A405" t="inlineStr">
        <is>
          <t>EMD-0021</t>
        </is>
      </c>
      <c r="B405" t="inlineStr">
        <is>
          <t>amyloid</t>
        </is>
      </c>
      <c r="C405" t="n">
        <v>6.69</v>
      </c>
      <c r="D405" t="n">
        <v>4.9</v>
      </c>
      <c r="E405" t="n">
        <v>-0.639</v>
      </c>
      <c r="F405" t="inlineStr">
        <is>
          <t>C1</t>
        </is>
      </c>
      <c r="G405" t="inlineStr">
        <is>
          <t>4.9</t>
        </is>
      </c>
      <c r="H405" t="n">
        <v>-0.639</v>
      </c>
      <c r="I405" t="inlineStr">
        <is>
          <t>C1</t>
        </is>
      </c>
      <c r="J405" t="n">
        <v>0</v>
      </c>
      <c r="K405" t="inlineStr">
        <is>
          <t> </t>
        </is>
      </c>
      <c r="L405" t="n">
        <v>0.79995</v>
      </c>
      <c r="M405" t="n">
        <v>0.79995</v>
      </c>
      <c r="N405" t="inlineStr">
        <is>
          <t>Yes</t>
        </is>
      </c>
      <c r="O405" t="inlineStr">
        <is>
          <t>equal</t>
        </is>
      </c>
      <c r="P405" t="inlineStr">
        <is>
          <t>deposited</t>
        </is>
      </c>
      <c r="Q405" t="inlineStr"/>
      <c r="R405" t="inlineStr"/>
      <c r="S405">
        <f>HYPERLINK("https://helical-indexing-hi3d.streamlit.app/?emd_id=emd-0021&amp;rise=4.9&amp;twist=-0.639&amp;csym=1&amp;rise2=4.9&amp;twist2=-0.639&amp;csym2=1", "Link")</f>
        <v/>
      </c>
    </row>
    <row r="406">
      <c r="A406" t="inlineStr">
        <is>
          <t>EMD-18356</t>
        </is>
      </c>
      <c r="B406" t="inlineStr">
        <is>
          <t>amyloid</t>
        </is>
      </c>
      <c r="C406" t="n">
        <v>6.73</v>
      </c>
      <c r="D406" t="n">
        <v>4.76</v>
      </c>
      <c r="E406" t="n">
        <v>-1.2</v>
      </c>
      <c r="F406" t="inlineStr">
        <is>
          <t>C1</t>
        </is>
      </c>
      <c r="G406" t="inlineStr">
        <is>
          <t>4.76</t>
        </is>
      </c>
      <c r="H406" t="n">
        <v>-1.2</v>
      </c>
      <c r="I406" t="inlineStr">
        <is>
          <t>C1</t>
        </is>
      </c>
      <c r="J406" t="n">
        <v>0</v>
      </c>
      <c r="K406" t="inlineStr">
        <is>
          <t> </t>
        </is>
      </c>
      <c r="L406" t="n">
        <v>0.94135</v>
      </c>
      <c r="M406" t="n">
        <v>0.94135</v>
      </c>
      <c r="N406" t="inlineStr">
        <is>
          <t>Yes</t>
        </is>
      </c>
      <c r="O406" t="inlineStr">
        <is>
          <t>equal</t>
        </is>
      </c>
      <c r="P406" t="inlineStr">
        <is>
          <t>deposited</t>
        </is>
      </c>
      <c r="Q406" t="inlineStr"/>
      <c r="R406" t="inlineStr"/>
      <c r="S406">
        <f>HYPERLINK("https://helical-indexing-hi3d.streamlit.app/?emd_id=emd-18356&amp;rise=4.76&amp;twist=-1.2&amp;csym=1&amp;rise2=4.76&amp;twist2=-1.2&amp;csym2=1", "Link")</f>
        <v/>
      </c>
    </row>
    <row r="407">
      <c r="A407" t="inlineStr">
        <is>
          <t>EMD-26289</t>
        </is>
      </c>
      <c r="B407" t="inlineStr">
        <is>
          <t>amyloid</t>
        </is>
      </c>
      <c r="C407" t="n">
        <v>6.9</v>
      </c>
      <c r="D407" t="n">
        <v>4.8</v>
      </c>
      <c r="E407" t="n">
        <v>-0.4</v>
      </c>
      <c r="F407" t="inlineStr">
        <is>
          <t>C2</t>
        </is>
      </c>
      <c r="G407" t="inlineStr">
        <is>
          <t>4.8</t>
        </is>
      </c>
      <c r="H407" t="n">
        <v>-0.4</v>
      </c>
      <c r="I407" t="inlineStr">
        <is>
          <t>C2</t>
        </is>
      </c>
      <c r="J407" t="n">
        <v>0</v>
      </c>
      <c r="K407" t="inlineStr">
        <is>
          <t> </t>
        </is>
      </c>
      <c r="L407" t="n">
        <v>0.96312</v>
      </c>
      <c r="M407" t="n">
        <v>0.96312</v>
      </c>
      <c r="N407" t="inlineStr">
        <is>
          <t>Yes</t>
        </is>
      </c>
      <c r="O407" t="inlineStr">
        <is>
          <t>equal</t>
        </is>
      </c>
      <c r="P407" t="inlineStr">
        <is>
          <t>deposited</t>
        </is>
      </c>
      <c r="Q407" t="inlineStr"/>
      <c r="R407" t="inlineStr"/>
      <c r="S407">
        <f>HYPERLINK("https://helical-indexing-hi3d.streamlit.app/?emd_id=emd-26289&amp;rise=4.8&amp;twist=-0.4&amp;csym=2&amp;rise2=4.8&amp;twist2=-0.4&amp;csym2=2", "Link")</f>
        <v/>
      </c>
    </row>
    <row r="408">
      <c r="A408" t="inlineStr">
        <is>
          <t>EMD-26291</t>
        </is>
      </c>
      <c r="B408" t="inlineStr">
        <is>
          <t>amyloid</t>
        </is>
      </c>
      <c r="C408" t="n">
        <v>7</v>
      </c>
      <c r="D408" t="n">
        <v>4.8</v>
      </c>
      <c r="E408" t="n">
        <v>-0.4</v>
      </c>
      <c r="F408" t="inlineStr">
        <is>
          <t>C2</t>
        </is>
      </c>
      <c r="G408" t="inlineStr">
        <is>
          <t>4.8</t>
        </is>
      </c>
      <c r="H408" t="n">
        <v>-0.4</v>
      </c>
      <c r="I408" t="inlineStr">
        <is>
          <t>C2</t>
        </is>
      </c>
      <c r="J408" t="n">
        <v>0</v>
      </c>
      <c r="K408" t="inlineStr"/>
      <c r="L408" t="n">
        <v>0.96285</v>
      </c>
      <c r="M408" t="n">
        <v>0.96285</v>
      </c>
      <c r="N408" t="inlineStr">
        <is>
          <t>Yes</t>
        </is>
      </c>
      <c r="O408" t="inlineStr">
        <is>
          <t>equal</t>
        </is>
      </c>
      <c r="P408" t="inlineStr">
        <is>
          <t>deposited</t>
        </is>
      </c>
      <c r="Q408" t="inlineStr"/>
      <c r="R408" t="inlineStr"/>
      <c r="S408">
        <f>HYPERLINK("https://helical-indexing-hi3d.streamlit.app/?emd_id=emd-26291&amp;rise=4.8&amp;twist=-0.4&amp;csym=2&amp;rise2=4.8&amp;twist2=-0.4&amp;csym2=2", "Link")</f>
        <v/>
      </c>
    </row>
    <row r="409">
      <c r="A409" t="inlineStr">
        <is>
          <t>EMD-26288</t>
        </is>
      </c>
      <c r="B409" t="inlineStr">
        <is>
          <t>amyloid</t>
        </is>
      </c>
      <c r="C409" t="n">
        <v>7.2</v>
      </c>
      <c r="D409" t="n">
        <v>4.8</v>
      </c>
      <c r="E409" t="n">
        <v>-0.4</v>
      </c>
      <c r="F409" t="inlineStr">
        <is>
          <t>C1</t>
        </is>
      </c>
      <c r="G409" t="inlineStr">
        <is>
          <t>4.8</t>
        </is>
      </c>
      <c r="H409" t="n">
        <v>-0.4</v>
      </c>
      <c r="I409" t="inlineStr">
        <is>
          <t>C1</t>
        </is>
      </c>
      <c r="J409" t="n">
        <v>0</v>
      </c>
      <c r="K409" t="inlineStr">
        <is>
          <t> </t>
        </is>
      </c>
      <c r="L409" t="n">
        <v>0.9568</v>
      </c>
      <c r="M409" t="n">
        <v>0.9568</v>
      </c>
      <c r="N409" t="inlineStr">
        <is>
          <t>Yes</t>
        </is>
      </c>
      <c r="O409" t="inlineStr">
        <is>
          <t>equal</t>
        </is>
      </c>
      <c r="P409" t="inlineStr">
        <is>
          <t>deposited</t>
        </is>
      </c>
      <c r="Q409" t="inlineStr"/>
      <c r="R409" t="inlineStr"/>
      <c r="S409">
        <f>HYPERLINK("https://helical-indexing-hi3d.streamlit.app/?emd_id=emd-26288&amp;rise=4.8&amp;twist=-0.4&amp;csym=1&amp;rise2=4.8&amp;twist2=-0.4&amp;csym2=1", "Link")</f>
        <v/>
      </c>
    </row>
    <row r="410">
      <c r="A410" t="inlineStr">
        <is>
          <t>EMD-18344</t>
        </is>
      </c>
      <c r="B410" t="inlineStr">
        <is>
          <t>amyloid</t>
        </is>
      </c>
      <c r="C410" t="n">
        <v>7.2</v>
      </c>
      <c r="D410" t="n">
        <v>4.75</v>
      </c>
      <c r="E410" t="n">
        <v>-0.8100000000000001</v>
      </c>
      <c r="F410" t="inlineStr">
        <is>
          <t>C1</t>
        </is>
      </c>
      <c r="G410" t="inlineStr">
        <is>
          <t>4.75</t>
        </is>
      </c>
      <c r="H410" t="n">
        <v>-0.8100000000000001</v>
      </c>
      <c r="I410" t="inlineStr">
        <is>
          <t>C1</t>
        </is>
      </c>
      <c r="J410" t="n">
        <v>0</v>
      </c>
      <c r="K410" t="inlineStr"/>
      <c r="L410" t="n">
        <v>0.9644200000000001</v>
      </c>
      <c r="M410" t="n">
        <v>0.9644200000000001</v>
      </c>
      <c r="N410" t="inlineStr">
        <is>
          <t>Yes</t>
        </is>
      </c>
      <c r="O410" t="inlineStr">
        <is>
          <t>equal</t>
        </is>
      </c>
      <c r="P410" t="inlineStr">
        <is>
          <t>deposited</t>
        </is>
      </c>
      <c r="Q410" t="inlineStr"/>
      <c r="R410" t="inlineStr"/>
      <c r="S410">
        <f>HYPERLINK("https://helical-indexing-hi3d.streamlit.app/?emd_id=emd-18344&amp;rise=4.75&amp;twist=-0.81&amp;csym=1&amp;rise2=4.75&amp;twist2=-0.81&amp;csym2=1", "Link")</f>
        <v/>
      </c>
    </row>
    <row r="411">
      <c r="A411" t="inlineStr">
        <is>
          <t>EMD-18348</t>
        </is>
      </c>
      <c r="B411" t="inlineStr">
        <is>
          <t>amyloid</t>
        </is>
      </c>
      <c r="C411" t="n">
        <v>7.34</v>
      </c>
      <c r="D411" t="n">
        <v>4.79</v>
      </c>
      <c r="E411" t="n">
        <v>-1.09</v>
      </c>
      <c r="F411" t="inlineStr">
        <is>
          <t>C1</t>
        </is>
      </c>
      <c r="G411" t="inlineStr">
        <is>
          <t>4.79</t>
        </is>
      </c>
      <c r="H411" t="n">
        <v>-1.09</v>
      </c>
      <c r="I411" t="inlineStr">
        <is>
          <t>C1</t>
        </is>
      </c>
      <c r="J411" t="n">
        <v>0</v>
      </c>
      <c r="K411" t="inlineStr"/>
      <c r="L411" t="n">
        <v>0.96387</v>
      </c>
      <c r="M411" t="n">
        <v>0.96387</v>
      </c>
      <c r="N411" t="inlineStr">
        <is>
          <t>Yes</t>
        </is>
      </c>
      <c r="O411" t="inlineStr">
        <is>
          <t>equal</t>
        </is>
      </c>
      <c r="P411" t="inlineStr">
        <is>
          <t>deposited</t>
        </is>
      </c>
      <c r="Q411" t="inlineStr"/>
      <c r="R411" t="inlineStr"/>
      <c r="S411">
        <f>HYPERLINK("https://helical-indexing-hi3d.streamlit.app/?emd_id=emd-18348&amp;rise=4.79&amp;twist=-1.09&amp;csym=1&amp;rise2=4.79&amp;twist2=-1.09&amp;csym2=1", "Link")</f>
        <v/>
      </c>
    </row>
    <row r="412">
      <c r="A412" t="inlineStr">
        <is>
          <t>EMD-26281</t>
        </is>
      </c>
      <c r="B412" t="inlineStr">
        <is>
          <t>amyloid</t>
        </is>
      </c>
      <c r="C412" t="n">
        <v>7.6</v>
      </c>
      <c r="D412" t="n">
        <v>4.8</v>
      </c>
      <c r="E412" t="n">
        <v>-0.4</v>
      </c>
      <c r="F412" t="inlineStr">
        <is>
          <t>C1</t>
        </is>
      </c>
      <c r="G412" t="inlineStr">
        <is>
          <t>4.8</t>
        </is>
      </c>
      <c r="H412" t="n">
        <v>-0.4</v>
      </c>
      <c r="I412" t="inlineStr">
        <is>
          <t>C1</t>
        </is>
      </c>
      <c r="J412" t="n">
        <v>0</v>
      </c>
      <c r="K412" t="inlineStr">
        <is>
          <t> </t>
        </is>
      </c>
      <c r="L412" t="n">
        <v>0.9553</v>
      </c>
      <c r="M412" t="n">
        <v>0.9553</v>
      </c>
      <c r="N412" t="inlineStr">
        <is>
          <t>Yes</t>
        </is>
      </c>
      <c r="O412" t="inlineStr">
        <is>
          <t>equal</t>
        </is>
      </c>
      <c r="P412" t="inlineStr">
        <is>
          <t>deposited</t>
        </is>
      </c>
      <c r="Q412" t="inlineStr"/>
      <c r="R412" t="inlineStr"/>
      <c r="S412">
        <f>HYPERLINK("https://helical-indexing-hi3d.streamlit.app/?emd_id=emd-26281&amp;rise=4.8&amp;twist=-0.4&amp;csym=1&amp;rise2=4.8&amp;twist2=-0.4&amp;csym2=1", "Link")</f>
        <v/>
      </c>
    </row>
    <row r="413">
      <c r="A413" t="inlineStr">
        <is>
          <t>EMD-18363</t>
        </is>
      </c>
      <c r="B413" t="inlineStr">
        <is>
          <t>amyloid</t>
        </is>
      </c>
      <c r="C413" t="n">
        <v>8.109999999999999</v>
      </c>
      <c r="D413" t="n">
        <v>4.75</v>
      </c>
      <c r="E413" t="n">
        <v>-1.32</v>
      </c>
      <c r="F413" t="inlineStr">
        <is>
          <t>C1</t>
        </is>
      </c>
      <c r="G413" t="inlineStr">
        <is>
          <t>4.75</t>
        </is>
      </c>
      <c r="H413" t="n">
        <v>-1.32</v>
      </c>
      <c r="I413" t="inlineStr">
        <is>
          <t>C1</t>
        </is>
      </c>
      <c r="J413" t="n">
        <v>0</v>
      </c>
      <c r="K413" t="inlineStr">
        <is>
          <t> </t>
        </is>
      </c>
      <c r="L413" t="n">
        <v>0.9617599999999999</v>
      </c>
      <c r="M413" t="n">
        <v>0.9617599999999999</v>
      </c>
      <c r="N413" t="inlineStr">
        <is>
          <t>Yes</t>
        </is>
      </c>
      <c r="O413" t="inlineStr">
        <is>
          <t>equal</t>
        </is>
      </c>
      <c r="P413" t="inlineStr">
        <is>
          <t>deposited</t>
        </is>
      </c>
      <c r="Q413" t="inlineStr"/>
      <c r="R413" t="inlineStr"/>
      <c r="S413">
        <f>HYPERLINK("https://helical-indexing-hi3d.streamlit.app/?emd_id=emd-18363&amp;rise=4.75&amp;twist=-1.32&amp;csym=1&amp;rise2=4.75&amp;twist2=-1.32&amp;csym2=1", "Link")</f>
        <v/>
      </c>
    </row>
    <row r="414">
      <c r="A414" t="inlineStr">
        <is>
          <t>EMD-3986</t>
        </is>
      </c>
      <c r="B414" t="inlineStr">
        <is>
          <t>amyloid</t>
        </is>
      </c>
      <c r="C414" t="n">
        <v>8.4</v>
      </c>
      <c r="D414" t="n">
        <v>4.69</v>
      </c>
      <c r="E414" t="n">
        <v>0.9399999999999999</v>
      </c>
      <c r="F414" t="inlineStr">
        <is>
          <t>C1</t>
        </is>
      </c>
      <c r="G414" t="inlineStr">
        <is>
          <t>4.69</t>
        </is>
      </c>
      <c r="H414" t="n">
        <v>-0.9399999999999999</v>
      </c>
      <c r="I414" t="inlineStr">
        <is>
          <t>C1</t>
        </is>
      </c>
      <c r="J414" t="n">
        <v>0.3865985483121684</v>
      </c>
      <c r="K414" t="inlineStr">
        <is>
          <t> </t>
        </is>
      </c>
      <c r="L414" t="n">
        <v>0.59516</v>
      </c>
      <c r="M414" t="n">
        <v>0.81707</v>
      </c>
      <c r="N414" t="inlineStr">
        <is>
          <t>Yes</t>
        </is>
      </c>
      <c r="O414" t="inlineStr">
        <is>
          <t>improve</t>
        </is>
      </c>
      <c r="P414" t="inlineStr">
        <is>
          <t>twist sign</t>
        </is>
      </c>
      <c r="Q414" t="inlineStr"/>
      <c r="R414" t="inlineStr"/>
      <c r="S414">
        <f>HYPERLINK("https://helical-indexing-hi3d.streamlit.app/?emd_id=emd-3986&amp;rise=4.69&amp;twist=-0.94&amp;csym=1&amp;rise2=4.69&amp;twist2=0.94&amp;csym2=1", "Link")</f>
        <v/>
      </c>
    </row>
    <row r="415">
      <c r="A415" t="inlineStr">
        <is>
          <t>EMD-18360</t>
        </is>
      </c>
      <c r="B415" t="inlineStr">
        <is>
          <t>amyloid</t>
        </is>
      </c>
      <c r="C415" t="n">
        <v>8.550000000000001</v>
      </c>
      <c r="D415" t="n">
        <v>4.75</v>
      </c>
      <c r="E415" t="n">
        <v>-1.17</v>
      </c>
      <c r="F415" t="inlineStr">
        <is>
          <t>C1</t>
        </is>
      </c>
      <c r="G415" t="inlineStr">
        <is>
          <t>4.75</t>
        </is>
      </c>
      <c r="H415" t="n">
        <v>-1.17</v>
      </c>
      <c r="I415" t="inlineStr">
        <is>
          <t>C1</t>
        </is>
      </c>
      <c r="J415" t="n">
        <v>0</v>
      </c>
      <c r="K415" t="inlineStr">
        <is>
          <t> </t>
        </is>
      </c>
      <c r="L415" t="n">
        <v>0.95518</v>
      </c>
      <c r="M415" t="n">
        <v>0.95518</v>
      </c>
      <c r="N415" t="inlineStr">
        <is>
          <t>Yes</t>
        </is>
      </c>
      <c r="O415" t="inlineStr">
        <is>
          <t>equal</t>
        </is>
      </c>
      <c r="P415" t="inlineStr">
        <is>
          <t>deposited</t>
        </is>
      </c>
      <c r="Q415" t="inlineStr"/>
      <c r="R415" t="inlineStr"/>
      <c r="S415">
        <f>HYPERLINK("https://helical-indexing-hi3d.streamlit.app/?emd_id=emd-18360&amp;rise=4.75&amp;twist=-1.17&amp;csym=1&amp;rise2=4.75&amp;twist2=-1.17&amp;csym2=1", "Link")</f>
        <v/>
      </c>
    </row>
    <row r="416">
      <c r="A416" t="inlineStr">
        <is>
          <t>EMD-18358</t>
        </is>
      </c>
      <c r="B416" t="inlineStr">
        <is>
          <t>amyloid</t>
        </is>
      </c>
      <c r="C416" t="n">
        <v>8.56</v>
      </c>
      <c r="D416" t="n">
        <v>4.75</v>
      </c>
      <c r="E416" t="n">
        <v>-1.32</v>
      </c>
      <c r="F416" t="inlineStr">
        <is>
          <t>C1</t>
        </is>
      </c>
      <c r="G416" t="inlineStr">
        <is>
          <t>4.75</t>
        </is>
      </c>
      <c r="H416" t="n">
        <v>-1.32</v>
      </c>
      <c r="I416" t="inlineStr">
        <is>
          <t>C1</t>
        </is>
      </c>
      <c r="J416" t="n">
        <v>0</v>
      </c>
      <c r="K416" t="inlineStr">
        <is>
          <t> </t>
        </is>
      </c>
      <c r="L416" t="n">
        <v>0.96396</v>
      </c>
      <c r="M416" t="n">
        <v>0.96396</v>
      </c>
      <c r="N416" t="inlineStr">
        <is>
          <t>Yes</t>
        </is>
      </c>
      <c r="O416" t="inlineStr">
        <is>
          <t>equal</t>
        </is>
      </c>
      <c r="P416" t="inlineStr">
        <is>
          <t>deposited</t>
        </is>
      </c>
      <c r="Q416" t="inlineStr"/>
      <c r="R416" t="inlineStr"/>
      <c r="S416">
        <f>HYPERLINK("https://helical-indexing-hi3d.streamlit.app/?emd_id=emd-18358&amp;rise=4.75&amp;twist=-1.32&amp;csym=1&amp;rise2=4.75&amp;twist2=-1.32&amp;csym2=1", "Link")</f>
        <v/>
      </c>
    </row>
    <row r="417">
      <c r="A417" t="inlineStr">
        <is>
          <t>EMD-5008</t>
        </is>
      </c>
      <c r="B417" t="inlineStr">
        <is>
          <t>amyloid</t>
        </is>
      </c>
      <c r="C417" t="n">
        <v>8.800000000000001</v>
      </c>
      <c r="D417" t="n">
        <v>4.8</v>
      </c>
      <c r="E417" t="n">
        <v>1</v>
      </c>
      <c r="F417" t="inlineStr"/>
      <c r="G417" t="inlineStr">
        <is>
          <t>4.8</t>
        </is>
      </c>
      <c r="H417" t="n">
        <v>1</v>
      </c>
      <c r="I417" t="inlineStr">
        <is>
          <t>Cnan</t>
        </is>
      </c>
      <c r="J417" t="n">
        <v>0</v>
      </c>
      <c r="K417" t="inlineStr">
        <is>
          <t> </t>
        </is>
      </c>
      <c r="L417" t="n">
        <v>0.92422</v>
      </c>
      <c r="M417" t="n">
        <v>0.92422</v>
      </c>
      <c r="N417" t="inlineStr">
        <is>
          <t>Yes</t>
        </is>
      </c>
      <c r="O417" t="inlineStr">
        <is>
          <t>equal</t>
        </is>
      </c>
      <c r="P417" t="inlineStr">
        <is>
          <t>deposited</t>
        </is>
      </c>
      <c r="Q417" t="inlineStr"/>
      <c r="R417" t="inlineStr"/>
      <c r="S417" t="inlineStr"/>
    </row>
    <row r="418">
      <c r="A418" t="inlineStr">
        <is>
          <t>EMD-26282</t>
        </is>
      </c>
      <c r="B418" t="inlineStr">
        <is>
          <t>amyloid</t>
        </is>
      </c>
      <c r="C418" t="n">
        <v>8.800000000000001</v>
      </c>
      <c r="D418" t="n">
        <v>4.8</v>
      </c>
      <c r="E418" t="n">
        <v>-0.4</v>
      </c>
      <c r="F418" t="inlineStr">
        <is>
          <t>C2</t>
        </is>
      </c>
      <c r="G418" t="inlineStr">
        <is>
          <t>4.8</t>
        </is>
      </c>
      <c r="H418" t="n">
        <v>-0.4</v>
      </c>
      <c r="I418" t="inlineStr">
        <is>
          <t>C2</t>
        </is>
      </c>
      <c r="J418" t="n">
        <v>0</v>
      </c>
      <c r="K418" t="inlineStr">
        <is>
          <t> </t>
        </is>
      </c>
      <c r="L418" t="n">
        <v>0.97059</v>
      </c>
      <c r="M418" t="n">
        <v>0.97059</v>
      </c>
      <c r="N418" t="inlineStr">
        <is>
          <t>Yes</t>
        </is>
      </c>
      <c r="O418" t="inlineStr">
        <is>
          <t>equal</t>
        </is>
      </c>
      <c r="P418" t="inlineStr">
        <is>
          <t>deposited</t>
        </is>
      </c>
      <c r="Q418" t="inlineStr"/>
      <c r="R418" t="inlineStr"/>
      <c r="S418">
        <f>HYPERLINK("https://helical-indexing-hi3d.streamlit.app/?emd_id=emd-26282&amp;rise=4.8&amp;twist=-0.4&amp;csym=2&amp;rise2=4.8&amp;twist2=-0.4&amp;csym2=2", "Link")</f>
        <v/>
      </c>
    </row>
    <row r="419">
      <c r="A419" t="inlineStr">
        <is>
          <t>EMD-18347</t>
        </is>
      </c>
      <c r="B419" t="inlineStr">
        <is>
          <t>amyloid</t>
        </is>
      </c>
      <c r="C419" t="n">
        <v>9</v>
      </c>
      <c r="D419" t="n">
        <v>4.75</v>
      </c>
      <c r="E419" t="n">
        <v>-0.7</v>
      </c>
      <c r="F419" t="inlineStr">
        <is>
          <t>C1</t>
        </is>
      </c>
      <c r="G419" t="inlineStr">
        <is>
          <t>4.75</t>
        </is>
      </c>
      <c r="H419" t="n">
        <v>-0.7</v>
      </c>
      <c r="I419" t="inlineStr">
        <is>
          <t>C1</t>
        </is>
      </c>
      <c r="J419" t="n">
        <v>0</v>
      </c>
      <c r="K419" t="inlineStr">
        <is>
          <t> </t>
        </is>
      </c>
      <c r="L419" t="n">
        <v>0.95864</v>
      </c>
      <c r="M419" t="n">
        <v>0.95864</v>
      </c>
      <c r="N419" t="inlineStr">
        <is>
          <t>Yes</t>
        </is>
      </c>
      <c r="O419" t="inlineStr">
        <is>
          <t>equal</t>
        </is>
      </c>
      <c r="P419" t="inlineStr">
        <is>
          <t>deposited</t>
        </is>
      </c>
      <c r="Q419" t="inlineStr"/>
      <c r="R419" t="inlineStr"/>
      <c r="S419">
        <f>HYPERLINK("https://helical-indexing-hi3d.streamlit.app/?emd_id=emd-18347&amp;rise=4.75&amp;twist=-0.7&amp;csym=1&amp;rise2=4.75&amp;twist2=-0.7&amp;csym2=1", "Link")</f>
        <v/>
      </c>
    </row>
    <row r="420">
      <c r="A420" t="inlineStr">
        <is>
          <t>EMD-3987</t>
        </is>
      </c>
      <c r="B420" t="inlineStr">
        <is>
          <t>amyloid</t>
        </is>
      </c>
      <c r="C420" t="n">
        <v>9.300000000000001</v>
      </c>
      <c r="D420" t="n">
        <v>4.69</v>
      </c>
      <c r="E420" t="n">
        <v>0.88</v>
      </c>
      <c r="F420" t="inlineStr">
        <is>
          <t>C2</t>
        </is>
      </c>
      <c r="G420" t="inlineStr">
        <is>
          <t>4.69</t>
        </is>
      </c>
      <c r="H420" t="n">
        <v>-0.88</v>
      </c>
      <c r="I420" t="inlineStr">
        <is>
          <t>C2</t>
        </is>
      </c>
      <c r="J420" t="n">
        <v>0.3885321197933601</v>
      </c>
      <c r="K420" t="inlineStr">
        <is>
          <t> </t>
        </is>
      </c>
      <c r="L420" t="n">
        <v>0.6765099999999999</v>
      </c>
      <c r="M420" t="n">
        <v>0.99495</v>
      </c>
      <c r="N420" t="inlineStr">
        <is>
          <t>Yes</t>
        </is>
      </c>
      <c r="O420" t="inlineStr">
        <is>
          <t>improve</t>
        </is>
      </c>
      <c r="P420" t="inlineStr">
        <is>
          <t>twist sign</t>
        </is>
      </c>
      <c r="Q420" t="inlineStr"/>
      <c r="R420" t="inlineStr"/>
      <c r="S420">
        <f>HYPERLINK("https://helical-indexing-hi3d.streamlit.app/?emd_id=emd-3987&amp;rise=4.69&amp;twist=-0.88&amp;csym=2&amp;rise2=4.69&amp;twist2=0.88&amp;csym2=2", "Link")</f>
        <v/>
      </c>
    </row>
    <row r="421">
      <c r="A421" t="inlineStr">
        <is>
          <t>EMD-3989</t>
        </is>
      </c>
      <c r="B421" t="inlineStr">
        <is>
          <t>amyloid</t>
        </is>
      </c>
      <c r="C421" t="n">
        <v>9.4</v>
      </c>
      <c r="D421" t="n">
        <v>4.69</v>
      </c>
      <c r="E421" t="n">
        <v>0.84</v>
      </c>
      <c r="F421" t="inlineStr">
        <is>
          <t>C2</t>
        </is>
      </c>
      <c r="G421" t="inlineStr">
        <is>
          <t>4.69</t>
        </is>
      </c>
      <c r="H421" t="n">
        <v>-0.84</v>
      </c>
      <c r="I421" t="inlineStr">
        <is>
          <t>C2</t>
        </is>
      </c>
      <c r="J421" t="n">
        <v>0.3645359379173143</v>
      </c>
      <c r="K421" t="inlineStr">
        <is>
          <t> </t>
        </is>
      </c>
      <c r="L421" t="n">
        <v>0.38214</v>
      </c>
      <c r="M421" t="n">
        <v>0.9989400000000001</v>
      </c>
      <c r="N421" t="inlineStr">
        <is>
          <t>Yes</t>
        </is>
      </c>
      <c r="O421" t="inlineStr">
        <is>
          <t>improve</t>
        </is>
      </c>
      <c r="P421" t="inlineStr">
        <is>
          <t>twist sign</t>
        </is>
      </c>
      <c r="Q421" t="inlineStr"/>
      <c r="R421" t="inlineStr"/>
      <c r="S421">
        <f>HYPERLINK("https://helical-indexing-hi3d.streamlit.app/?emd_id=emd-3989&amp;rise=4.69&amp;twist=-0.84&amp;csym=2&amp;rise2=4.69&amp;twist2=0.84&amp;csym2=2", "Link")</f>
        <v/>
      </c>
    </row>
    <row r="422">
      <c r="A422" t="inlineStr">
        <is>
          <t>EMD-3988</t>
        </is>
      </c>
      <c r="B422" t="inlineStr">
        <is>
          <t>amyloid</t>
        </is>
      </c>
      <c r="C422" t="n">
        <v>9.699999999999999</v>
      </c>
      <c r="D422" t="n">
        <v>4.69</v>
      </c>
      <c r="E422" t="n">
        <v>0.85</v>
      </c>
      <c r="F422" t="inlineStr">
        <is>
          <t>C1</t>
        </is>
      </c>
      <c r="G422" t="inlineStr">
        <is>
          <t>4.69</t>
        </is>
      </c>
      <c r="H422" t="n">
        <v>-0.85</v>
      </c>
      <c r="I422" t="inlineStr">
        <is>
          <t>C1</t>
        </is>
      </c>
      <c r="J422" t="n">
        <v>0.3137075097079232</v>
      </c>
      <c r="K422" t="inlineStr">
        <is>
          <t> </t>
        </is>
      </c>
      <c r="L422" t="n">
        <v>0.37353</v>
      </c>
      <c r="M422" t="n">
        <v>0.99683</v>
      </c>
      <c r="N422" t="inlineStr">
        <is>
          <t>Yes</t>
        </is>
      </c>
      <c r="O422" t="inlineStr">
        <is>
          <t>improve</t>
        </is>
      </c>
      <c r="P422" t="inlineStr">
        <is>
          <t>twist sign</t>
        </is>
      </c>
      <c r="Q422" t="inlineStr"/>
      <c r="R422" t="inlineStr"/>
      <c r="S422">
        <f>HYPERLINK("https://helical-indexing-hi3d.streamlit.app/?emd_id=emd-3988&amp;rise=4.69&amp;twist=-0.85&amp;csym=1&amp;rise2=4.69&amp;twist2=0.85&amp;csym2=1", "Link")</f>
        <v/>
      </c>
    </row>
    <row r="423">
      <c r="A423" t="inlineStr">
        <is>
          <t>EMD-3990</t>
        </is>
      </c>
      <c r="B423" t="inlineStr">
        <is>
          <t>amyloid</t>
        </is>
      </c>
      <c r="C423" t="n">
        <v>13.4</v>
      </c>
      <c r="D423" t="n">
        <v>4.69</v>
      </c>
      <c r="E423" t="n">
        <v>0.82</v>
      </c>
      <c r="F423" t="inlineStr">
        <is>
          <t>C2</t>
        </is>
      </c>
      <c r="G423" t="inlineStr">
        <is>
          <t>4.69</t>
        </is>
      </c>
      <c r="H423" t="n">
        <v>0.82</v>
      </c>
      <c r="I423" t="inlineStr">
        <is>
          <t>C2</t>
        </is>
      </c>
      <c r="J423" t="n">
        <v>0</v>
      </c>
      <c r="K423" t="inlineStr">
        <is>
          <t> </t>
        </is>
      </c>
      <c r="L423" t="n">
        <v>0.8228</v>
      </c>
      <c r="M423" t="n">
        <v>0.8228</v>
      </c>
      <c r="N423" t="inlineStr">
        <is>
          <t>Yes</t>
        </is>
      </c>
      <c r="O423" t="inlineStr">
        <is>
          <t>equal</t>
        </is>
      </c>
      <c r="P423" t="inlineStr">
        <is>
          <t>deposited</t>
        </is>
      </c>
      <c r="Q423" t="inlineStr"/>
      <c r="R423" t="inlineStr"/>
      <c r="S423">
        <f>HYPERLINK("https://helical-indexing-hi3d.streamlit.app/?emd_id=emd-3990&amp;rise=4.69&amp;twist=0.82&amp;csym=2&amp;rise2=4.69&amp;twist2=0.82&amp;csym2=2", "Link")</f>
        <v/>
      </c>
    </row>
    <row r="424">
      <c r="A424" t="inlineStr">
        <is>
          <t>EMD-3991</t>
        </is>
      </c>
      <c r="B424" t="inlineStr">
        <is>
          <t>amyloid</t>
        </is>
      </c>
      <c r="C424" t="n">
        <v>15.9</v>
      </c>
      <c r="D424" t="n">
        <v>4.69</v>
      </c>
      <c r="E424" t="n">
        <v>0.8</v>
      </c>
      <c r="F424" t="inlineStr">
        <is>
          <t>C1</t>
        </is>
      </c>
      <c r="G424" t="inlineStr">
        <is>
          <t>4.69</t>
        </is>
      </c>
      <c r="H424" t="n">
        <v>-0.8</v>
      </c>
      <c r="I424" t="inlineStr">
        <is>
          <t>C1</t>
        </is>
      </c>
      <c r="J424" t="n">
        <v>0.3389304884226877</v>
      </c>
      <c r="K424" t="inlineStr">
        <is>
          <t> </t>
        </is>
      </c>
      <c r="L424" t="n">
        <v>0.43787</v>
      </c>
      <c r="M424" t="n">
        <v>0.99925</v>
      </c>
      <c r="N424" t="inlineStr">
        <is>
          <t>Yes</t>
        </is>
      </c>
      <c r="O424" t="inlineStr">
        <is>
          <t>improve</t>
        </is>
      </c>
      <c r="P424" t="inlineStr">
        <is>
          <t>twist sign</t>
        </is>
      </c>
      <c r="Q424" t="inlineStr"/>
      <c r="R424" t="inlineStr"/>
      <c r="S424">
        <f>HYPERLINK("https://helical-indexing-hi3d.streamlit.app/?emd_id=emd-3991&amp;rise=4.69&amp;twist=-0.8&amp;csym=1&amp;rise2=4.69&amp;twist2=0.8&amp;csym2=1", "Link")</f>
        <v/>
      </c>
    </row>
    <row r="425">
      <c r="A425" t="inlineStr">
        <is>
          <t>EMD-3994</t>
        </is>
      </c>
      <c r="B425" t="inlineStr">
        <is>
          <t>amyloid</t>
        </is>
      </c>
      <c r="C425" t="n">
        <v>17.7</v>
      </c>
      <c r="D425" t="n">
        <v>4.69</v>
      </c>
      <c r="E425" t="n">
        <v>0.72</v>
      </c>
      <c r="F425" t="inlineStr">
        <is>
          <t>C2</t>
        </is>
      </c>
      <c r="G425" t="inlineStr">
        <is>
          <t>4.5493</t>
        </is>
      </c>
      <c r="H425" t="n">
        <v>0.73728</v>
      </c>
      <c r="I425" t="inlineStr">
        <is>
          <t>C2</t>
        </is>
      </c>
      <c r="J425" t="n">
        <v>0.1407778490631296</v>
      </c>
      <c r="K425" t="inlineStr">
        <is>
          <t> </t>
        </is>
      </c>
      <c r="L425" t="n">
        <v>0.46804</v>
      </c>
      <c r="M425" t="n">
        <v>0.47365</v>
      </c>
      <c r="N425" t="inlineStr">
        <is>
          <t>No</t>
        </is>
      </c>
      <c r="O425" t="inlineStr">
        <is>
          <t>improve</t>
        </is>
      </c>
      <c r="P425" t="inlineStr">
        <is>
          <t>adjusted decimals</t>
        </is>
      </c>
      <c r="Q425" t="inlineStr"/>
      <c r="R425" t="inlineStr"/>
      <c r="S425">
        <f>HYPERLINK("https://helical-indexing-hi3d.streamlit.app/?emd_id=emd-3994&amp;rise=4.5493&amp;twist=0.73728&amp;csym=2&amp;rise2=4.69&amp;twist2=0.72&amp;csym2=2", "Link")</f>
        <v/>
      </c>
    </row>
    <row r="426">
      <c r="A426" t="inlineStr">
        <is>
          <t>EMD-3992</t>
        </is>
      </c>
      <c r="B426" t="inlineStr">
        <is>
          <t>amyloid</t>
        </is>
      </c>
      <c r="C426" t="n">
        <v>18.2</v>
      </c>
      <c r="D426" t="n">
        <v>4.69</v>
      </c>
      <c r="E426" t="n">
        <v>0.84</v>
      </c>
      <c r="F426" t="inlineStr">
        <is>
          <t>C2</t>
        </is>
      </c>
      <c r="G426" t="inlineStr">
        <is>
          <t>4.69</t>
        </is>
      </c>
      <c r="H426" t="n">
        <v>-0.84</v>
      </c>
      <c r="I426" t="inlineStr">
        <is>
          <t>C2</t>
        </is>
      </c>
      <c r="J426" t="n">
        <v>0.4371861235117766</v>
      </c>
      <c r="K426" t="inlineStr">
        <is>
          <t> </t>
        </is>
      </c>
      <c r="L426" t="n">
        <v>0.32905</v>
      </c>
      <c r="M426" t="n">
        <v>0.99695</v>
      </c>
      <c r="N426" t="inlineStr">
        <is>
          <t>Yes</t>
        </is>
      </c>
      <c r="O426" t="inlineStr">
        <is>
          <t>improve</t>
        </is>
      </c>
      <c r="P426" t="inlineStr">
        <is>
          <t>twist sign</t>
        </is>
      </c>
      <c r="Q426" t="inlineStr"/>
      <c r="R426" t="inlineStr"/>
      <c r="S426">
        <f>HYPERLINK("https://helical-indexing-hi3d.streamlit.app/?emd_id=emd-3992&amp;rise=4.69&amp;twist=-0.84&amp;csym=2&amp;rise2=4.69&amp;twist2=0.84&amp;csym2=2", "Link")</f>
        <v/>
      </c>
    </row>
    <row r="427">
      <c r="A427" t="inlineStr">
        <is>
          <t>EMD-18362</t>
        </is>
      </c>
      <c r="B427" t="inlineStr">
        <is>
          <t>amyloid</t>
        </is>
      </c>
      <c r="C427" t="n">
        <v>21.1</v>
      </c>
      <c r="D427" t="n">
        <v>4.35</v>
      </c>
      <c r="E427" t="n">
        <v>-0.8</v>
      </c>
      <c r="F427" t="inlineStr">
        <is>
          <t>C1</t>
        </is>
      </c>
      <c r="G427" t="inlineStr">
        <is>
          <t>4.35</t>
        </is>
      </c>
      <c r="H427" t="n">
        <v>-0.8</v>
      </c>
      <c r="I427" t="inlineStr">
        <is>
          <t>C1</t>
        </is>
      </c>
      <c r="J427" t="n">
        <v>0</v>
      </c>
      <c r="K427" t="inlineStr">
        <is>
          <t> </t>
        </is>
      </c>
      <c r="L427" t="n">
        <v>0.77303</v>
      </c>
      <c r="M427" t="n">
        <v>0.77303</v>
      </c>
      <c r="N427" t="inlineStr">
        <is>
          <t>Yes</t>
        </is>
      </c>
      <c r="O427" t="inlineStr">
        <is>
          <t>equal</t>
        </is>
      </c>
      <c r="P427" t="inlineStr">
        <is>
          <t>deposited</t>
        </is>
      </c>
      <c r="Q427" t="inlineStr"/>
      <c r="R427" t="inlineStr"/>
      <c r="S427">
        <f>HYPERLINK("https://helical-indexing-hi3d.streamlit.app/?emd_id=emd-18362&amp;rise=4.35&amp;twist=-0.8&amp;csym=1&amp;rise2=4.35&amp;twist2=-0.8&amp;csym2=1", "Link")</f>
        <v/>
      </c>
    </row>
    <row r="428">
      <c r="A428" t="inlineStr">
        <is>
          <t>EMD-18243</t>
        </is>
      </c>
      <c r="B428" t="inlineStr">
        <is>
          <t>amyloid</t>
        </is>
      </c>
      <c r="C428" t="n">
        <v>2.39</v>
      </c>
      <c r="D428" t="n">
        <v>4.84</v>
      </c>
      <c r="E428" t="n">
        <v>-0.44</v>
      </c>
      <c r="F428" t="inlineStr">
        <is>
          <t>C1</t>
        </is>
      </c>
      <c r="G428" t="inlineStr">
        <is>
          <t>4.84</t>
        </is>
      </c>
      <c r="H428" t="n">
        <v>-0.44</v>
      </c>
      <c r="I428" t="inlineStr">
        <is>
          <t>C1</t>
        </is>
      </c>
      <c r="J428" t="n">
        <v>0</v>
      </c>
      <c r="K428" t="inlineStr"/>
      <c r="L428" t="n">
        <v>0.8817199999999999</v>
      </c>
      <c r="M428" t="n">
        <v>0.8817199999999999</v>
      </c>
      <c r="N428" t="inlineStr">
        <is>
          <t>Yes</t>
        </is>
      </c>
      <c r="O428" t="inlineStr">
        <is>
          <t>equal</t>
        </is>
      </c>
      <c r="P428" t="inlineStr">
        <is>
          <t>deposited</t>
        </is>
      </c>
      <c r="Q428" t="inlineStr"/>
      <c r="R428" t="inlineStr"/>
      <c r="S428">
        <f>HYPERLINK("https://helical-indexing-hi3d.streamlit.app/?emd_id=emd-18243&amp;rise=4.84&amp;twist=-0.44&amp;csym=1&amp;rise2=4.84&amp;twist2=-0.44&amp;csym2=1", "Link")</f>
        <v/>
      </c>
    </row>
    <row r="429">
      <c r="A429" t="inlineStr">
        <is>
          <t>EMD-33960</t>
        </is>
      </c>
      <c r="B429" t="inlineStr">
        <is>
          <t>amyloid</t>
        </is>
      </c>
      <c r="C429" t="n">
        <v>2.5</v>
      </c>
      <c r="D429" t="n">
        <v>2.43</v>
      </c>
      <c r="E429" t="n">
        <v>179.56</v>
      </c>
      <c r="F429" t="inlineStr">
        <is>
          <t>C1</t>
        </is>
      </c>
      <c r="G429" t="inlineStr">
        <is>
          <t>2.43</t>
        </is>
      </c>
      <c r="H429" t="n">
        <v>179.56</v>
      </c>
      <c r="I429" t="inlineStr">
        <is>
          <t>C1</t>
        </is>
      </c>
      <c r="J429" t="n">
        <v>0</v>
      </c>
      <c r="K429" t="inlineStr"/>
      <c r="L429" t="n">
        <v>0.95438</v>
      </c>
      <c r="M429" t="n">
        <v>0.95438</v>
      </c>
      <c r="N429" t="inlineStr">
        <is>
          <t>Yes</t>
        </is>
      </c>
      <c r="O429" t="inlineStr">
        <is>
          <t>equal</t>
        </is>
      </c>
      <c r="P429" t="inlineStr">
        <is>
          <t>deposited</t>
        </is>
      </c>
      <c r="Q429" t="inlineStr"/>
      <c r="R429" t="inlineStr"/>
      <c r="S429">
        <f>HYPERLINK("https://helical-indexing-hi3d.streamlit.app/?emd_id=emd-33960&amp;rise=2.43&amp;twist=179.56&amp;csym=1&amp;rise2=2.43&amp;twist2=179.56&amp;csym2=1", "Link")</f>
        <v/>
      </c>
    </row>
    <row r="430">
      <c r="A430" t="inlineStr">
        <is>
          <t>EMD-35406</t>
        </is>
      </c>
      <c r="B430" t="inlineStr">
        <is>
          <t>amyloid</t>
        </is>
      </c>
      <c r="C430" t="n">
        <v>2.62</v>
      </c>
      <c r="D430" t="n">
        <v>4.77</v>
      </c>
      <c r="E430" t="n">
        <v>-1.08</v>
      </c>
      <c r="F430" t="inlineStr">
        <is>
          <t>C1</t>
        </is>
      </c>
      <c r="G430" t="inlineStr">
        <is>
          <t>4.77</t>
        </is>
      </c>
      <c r="H430" t="n">
        <v>-1.08</v>
      </c>
      <c r="I430" t="inlineStr">
        <is>
          <t>C1</t>
        </is>
      </c>
      <c r="J430" t="n">
        <v>0</v>
      </c>
      <c r="K430" t="inlineStr"/>
      <c r="L430" t="n">
        <v>0.96597</v>
      </c>
      <c r="M430" t="n">
        <v>0.96597</v>
      </c>
      <c r="N430" t="inlineStr">
        <is>
          <t>Yes</t>
        </is>
      </c>
      <c r="O430" t="inlineStr">
        <is>
          <t>equal</t>
        </is>
      </c>
      <c r="P430" t="inlineStr">
        <is>
          <t>deposited</t>
        </is>
      </c>
      <c r="Q430" t="inlineStr"/>
      <c r="R430" t="inlineStr"/>
      <c r="S430">
        <f>HYPERLINK("https://helical-indexing-hi3d.streamlit.app/?emd_id=emd-35406&amp;rise=4.77&amp;twist=-1.08&amp;csym=1&amp;rise2=4.77&amp;twist2=-1.08&amp;csym2=1", "Link")</f>
        <v/>
      </c>
    </row>
    <row r="431">
      <c r="A431" t="inlineStr">
        <is>
          <t>EMD-35404</t>
        </is>
      </c>
      <c r="B431" t="inlineStr">
        <is>
          <t>amyloid</t>
        </is>
      </c>
      <c r="C431" t="n">
        <v>2.68</v>
      </c>
      <c r="D431" t="n">
        <v>2.47</v>
      </c>
      <c r="E431" t="n">
        <v>179.43</v>
      </c>
      <c r="F431" t="inlineStr">
        <is>
          <t>C1</t>
        </is>
      </c>
      <c r="G431" t="inlineStr">
        <is>
          <t>2.38</t>
        </is>
      </c>
      <c r="H431" t="n">
        <v>179.44</v>
      </c>
      <c r="I431" t="inlineStr">
        <is>
          <t>C1</t>
        </is>
      </c>
      <c r="J431" t="n">
        <v>0.090123118</v>
      </c>
      <c r="K431" t="inlineStr"/>
      <c r="L431" t="n">
        <v>0.4276</v>
      </c>
      <c r="M431" t="n">
        <v>0.9563700000000001</v>
      </c>
      <c r="N431" t="inlineStr">
        <is>
          <t>Yes</t>
        </is>
      </c>
      <c r="O431" t="inlineStr">
        <is>
          <t>improve</t>
        </is>
      </c>
      <c r="P431" t="inlineStr">
        <is>
          <t>adjusted decimals</t>
        </is>
      </c>
      <c r="Q431" t="inlineStr"/>
      <c r="R431" t="inlineStr"/>
      <c r="S431">
        <f>HYPERLINK("https://helical-indexing-hi3d.streamlit.app/?emd_id=emd-35404&amp;rise=2.38&amp;twist=179.44&amp;csym=1&amp;rise2=2.47&amp;twist2=179.43&amp;csym2=1", "Link")</f>
        <v/>
      </c>
    </row>
    <row r="432">
      <c r="A432" t="inlineStr">
        <is>
          <t>EMD-35409</t>
        </is>
      </c>
      <c r="B432" t="inlineStr">
        <is>
          <t>amyloid</t>
        </is>
      </c>
      <c r="C432" t="n">
        <v>2.69</v>
      </c>
      <c r="D432" t="n">
        <v>2.37</v>
      </c>
      <c r="E432" t="n">
        <v>179.42</v>
      </c>
      <c r="F432" t="inlineStr">
        <is>
          <t>C1</t>
        </is>
      </c>
      <c r="G432" t="inlineStr">
        <is>
          <t>2.37</t>
        </is>
      </c>
      <c r="H432" t="n">
        <v>179.42</v>
      </c>
      <c r="I432" t="inlineStr">
        <is>
          <t>C1</t>
        </is>
      </c>
      <c r="J432" t="n">
        <v>0</v>
      </c>
      <c r="K432" t="inlineStr"/>
      <c r="L432" t="n">
        <v>0.95868</v>
      </c>
      <c r="M432" t="n">
        <v>0.95868</v>
      </c>
      <c r="N432" t="inlineStr">
        <is>
          <t>Yes</t>
        </is>
      </c>
      <c r="O432" t="inlineStr">
        <is>
          <t>equal</t>
        </is>
      </c>
      <c r="P432" t="inlineStr">
        <is>
          <t>deposited</t>
        </is>
      </c>
      <c r="Q432" t="inlineStr"/>
      <c r="R432" t="inlineStr"/>
      <c r="S432">
        <f>HYPERLINK("https://helical-indexing-hi3d.streamlit.app/?emd_id=emd-35409&amp;rise=2.37&amp;twist=179.42&amp;csym=1&amp;rise2=2.37&amp;twist2=179.42&amp;csym2=1", "Link")</f>
        <v/>
      </c>
    </row>
    <row r="433">
      <c r="A433" t="inlineStr">
        <is>
          <t>EMD-35408</t>
        </is>
      </c>
      <c r="B433" t="inlineStr">
        <is>
          <t>amyloid</t>
        </is>
      </c>
      <c r="C433" t="n">
        <v>2.7</v>
      </c>
      <c r="D433" t="n">
        <v>4.77</v>
      </c>
      <c r="E433" t="n">
        <v>-1.08</v>
      </c>
      <c r="F433" t="inlineStr">
        <is>
          <t>C1</t>
        </is>
      </c>
      <c r="G433" t="inlineStr">
        <is>
          <t>4.77</t>
        </is>
      </c>
      <c r="H433" t="n">
        <v>-1.08</v>
      </c>
      <c r="I433" t="inlineStr">
        <is>
          <t>C1</t>
        </is>
      </c>
      <c r="J433" t="n">
        <v>0</v>
      </c>
      <c r="K433" t="inlineStr"/>
      <c r="L433" t="n">
        <v>0.96621</v>
      </c>
      <c r="M433" t="n">
        <v>0.96621</v>
      </c>
      <c r="N433" t="inlineStr">
        <is>
          <t>Yes</t>
        </is>
      </c>
      <c r="O433" t="inlineStr">
        <is>
          <t>equal</t>
        </is>
      </c>
      <c r="P433" t="inlineStr">
        <is>
          <t>deposited</t>
        </is>
      </c>
      <c r="Q433" t="inlineStr"/>
      <c r="R433" t="inlineStr"/>
      <c r="S433">
        <f>HYPERLINK("https://helical-indexing-hi3d.streamlit.app/?emd_id=emd-35408&amp;rise=4.77&amp;twist=-1.08&amp;csym=1&amp;rise2=4.77&amp;twist2=-1.08&amp;csym2=1", "Link")</f>
        <v/>
      </c>
    </row>
    <row r="434">
      <c r="A434" t="inlineStr">
        <is>
          <t>EMD-35403</t>
        </is>
      </c>
      <c r="B434" t="inlineStr">
        <is>
          <t>amyloid</t>
        </is>
      </c>
      <c r="C434" t="n">
        <v>2.7</v>
      </c>
      <c r="D434" t="n">
        <v>2.37</v>
      </c>
      <c r="E434" t="n">
        <v>179.43</v>
      </c>
      <c r="F434" t="inlineStr">
        <is>
          <t>C1</t>
        </is>
      </c>
      <c r="G434" t="inlineStr">
        <is>
          <t>2.37</t>
        </is>
      </c>
      <c r="H434" t="n">
        <v>179.43</v>
      </c>
      <c r="I434" t="inlineStr">
        <is>
          <t>C1</t>
        </is>
      </c>
      <c r="J434" t="n">
        <v>0</v>
      </c>
      <c r="K434" t="inlineStr"/>
      <c r="L434" t="n">
        <v>0.9509300000000001</v>
      </c>
      <c r="M434" t="n">
        <v>0.9509300000000001</v>
      </c>
      <c r="N434" t="inlineStr">
        <is>
          <t>Yes</t>
        </is>
      </c>
      <c r="O434" t="inlineStr">
        <is>
          <t>equal</t>
        </is>
      </c>
      <c r="P434" t="inlineStr">
        <is>
          <t>deposited</t>
        </is>
      </c>
      <c r="Q434" t="inlineStr"/>
      <c r="R434" t="inlineStr"/>
      <c r="S434">
        <f>HYPERLINK("https://helical-indexing-hi3d.streamlit.app/?emd_id=emd-35403&amp;rise=2.37&amp;twist=179.43&amp;csym=1&amp;rise2=2.37&amp;twist2=179.43&amp;csym2=1", "Link")</f>
        <v/>
      </c>
    </row>
    <row r="435">
      <c r="A435" t="inlineStr">
        <is>
          <t>EMD-13712</t>
        </is>
      </c>
      <c r="B435" t="inlineStr">
        <is>
          <t>amyloid</t>
        </is>
      </c>
      <c r="C435" t="n">
        <v>2.83</v>
      </c>
      <c r="D435" t="n">
        <v>4.851</v>
      </c>
      <c r="E435" t="n">
        <v>1.443</v>
      </c>
      <c r="F435" t="inlineStr">
        <is>
          <t>C1</t>
        </is>
      </c>
      <c r="G435" t="inlineStr">
        <is>
          <t>4.851</t>
        </is>
      </c>
      <c r="H435" t="n">
        <v>1.443</v>
      </c>
      <c r="I435" t="inlineStr">
        <is>
          <t>C1</t>
        </is>
      </c>
      <c r="J435" t="n">
        <v>0</v>
      </c>
      <c r="K435" t="inlineStr"/>
      <c r="L435" t="n">
        <v>0.94609</v>
      </c>
      <c r="M435" t="n">
        <v>0.94609</v>
      </c>
      <c r="N435" t="inlineStr">
        <is>
          <t>Yes</t>
        </is>
      </c>
      <c r="O435" t="inlineStr">
        <is>
          <t>equal</t>
        </is>
      </c>
      <c r="P435" t="inlineStr">
        <is>
          <t>deposited</t>
        </is>
      </c>
      <c r="Q435" t="inlineStr"/>
      <c r="R435" t="inlineStr"/>
      <c r="S435">
        <f>HYPERLINK("https://helical-indexing-hi3d.streamlit.app/?emd_id=emd-13712&amp;rise=4.851&amp;twist=1.443&amp;csym=1&amp;rise2=4.851&amp;twist2=1.443&amp;csym2=1", "Link")</f>
        <v/>
      </c>
    </row>
    <row r="436">
      <c r="A436" t="inlineStr">
        <is>
          <t>EMD-16682</t>
        </is>
      </c>
      <c r="B436" t="inlineStr">
        <is>
          <t>amyloid</t>
        </is>
      </c>
      <c r="C436" t="n">
        <v>2.93</v>
      </c>
      <c r="D436" t="n">
        <v>4.974</v>
      </c>
      <c r="E436" t="n">
        <v>1.151</v>
      </c>
      <c r="F436" t="inlineStr">
        <is>
          <t>C1</t>
        </is>
      </c>
      <c r="G436" t="inlineStr">
        <is>
          <t>4.974</t>
        </is>
      </c>
      <c r="H436" t="n">
        <v>1.151</v>
      </c>
      <c r="I436" t="inlineStr">
        <is>
          <t>C1</t>
        </is>
      </c>
      <c r="J436" t="n">
        <v>0</v>
      </c>
      <c r="K436" t="inlineStr"/>
      <c r="L436" t="n">
        <v>0.9559</v>
      </c>
      <c r="M436" t="n">
        <v>0.9559</v>
      </c>
      <c r="N436" t="inlineStr">
        <is>
          <t>Yes</t>
        </is>
      </c>
      <c r="O436" t="inlineStr">
        <is>
          <t>equal</t>
        </is>
      </c>
      <c r="P436" t="inlineStr">
        <is>
          <t>deposited</t>
        </is>
      </c>
      <c r="Q436" t="inlineStr"/>
      <c r="R436" t="inlineStr"/>
      <c r="S436">
        <f>HYPERLINK("https://helical-indexing-hi3d.streamlit.app/?emd_id=emd-16682&amp;rise=4.974&amp;twist=1.151&amp;csym=1&amp;rise2=4.974&amp;twist2=1.151&amp;csym2=1", "Link")</f>
        <v/>
      </c>
    </row>
    <row r="437">
      <c r="A437" t="inlineStr">
        <is>
          <t>EMD-18240</t>
        </is>
      </c>
      <c r="B437" t="inlineStr">
        <is>
          <t>amyloid</t>
        </is>
      </c>
      <c r="C437" t="n">
        <v>2.93</v>
      </c>
      <c r="D437" t="n">
        <v>4.81</v>
      </c>
      <c r="E437" t="n">
        <v>-0.43</v>
      </c>
      <c r="F437" t="inlineStr">
        <is>
          <t>C1</t>
        </is>
      </c>
      <c r="G437" t="inlineStr">
        <is>
          <t>4.81</t>
        </is>
      </c>
      <c r="H437" t="n">
        <v>-0.43</v>
      </c>
      <c r="I437" t="inlineStr">
        <is>
          <t>C1</t>
        </is>
      </c>
      <c r="J437" t="n">
        <v>0</v>
      </c>
      <c r="K437" t="inlineStr"/>
      <c r="L437" t="n">
        <v>0.75917</v>
      </c>
      <c r="M437" t="n">
        <v>0.75917</v>
      </c>
      <c r="N437" t="inlineStr">
        <is>
          <t>Yes</t>
        </is>
      </c>
      <c r="O437" t="inlineStr">
        <is>
          <t>equal</t>
        </is>
      </c>
      <c r="P437" t="inlineStr">
        <is>
          <t>deposited</t>
        </is>
      </c>
      <c r="Q437" t="inlineStr"/>
      <c r="R437" t="inlineStr"/>
      <c r="S437">
        <f>HYPERLINK("https://helical-indexing-hi3d.streamlit.app/?emd_id=emd-18240&amp;rise=4.81&amp;twist=-0.43&amp;csym=1&amp;rise2=4.81&amp;twist2=-0.43&amp;csym2=1", "Link")</f>
        <v/>
      </c>
    </row>
    <row r="438">
      <c r="A438" t="inlineStr">
        <is>
          <t>EMD-13710</t>
        </is>
      </c>
      <c r="B438" t="inlineStr">
        <is>
          <t>amyloid</t>
        </is>
      </c>
      <c r="C438" t="n">
        <v>2.94</v>
      </c>
      <c r="D438" t="n">
        <v>4.847</v>
      </c>
      <c r="E438" t="n">
        <v>1.412</v>
      </c>
      <c r="F438" t="inlineStr">
        <is>
          <t>C1</t>
        </is>
      </c>
      <c r="G438" t="inlineStr">
        <is>
          <t>4.847</t>
        </is>
      </c>
      <c r="H438" t="n">
        <v>1.412</v>
      </c>
      <c r="I438" t="inlineStr">
        <is>
          <t>C1</t>
        </is>
      </c>
      <c r="J438" t="n">
        <v>0</v>
      </c>
      <c r="K438" t="inlineStr"/>
      <c r="L438" t="n">
        <v>0.94877</v>
      </c>
      <c r="M438" t="n">
        <v>0.94877</v>
      </c>
      <c r="N438" t="inlineStr">
        <is>
          <t>Yes</t>
        </is>
      </c>
      <c r="O438" t="inlineStr">
        <is>
          <t>equal</t>
        </is>
      </c>
      <c r="P438" t="inlineStr">
        <is>
          <t>deposited</t>
        </is>
      </c>
      <c r="Q438" t="inlineStr"/>
      <c r="R438" t="inlineStr"/>
      <c r="S438">
        <f>HYPERLINK("https://helical-indexing-hi3d.streamlit.app/?emd_id=emd-13710&amp;rise=4.847&amp;twist=1.412&amp;csym=1&amp;rise2=4.847&amp;twist2=1.412&amp;csym2=1", "Link")</f>
        <v/>
      </c>
    </row>
    <row r="439">
      <c r="A439" t="inlineStr">
        <is>
          <t>EMD-18241</t>
        </is>
      </c>
      <c r="B439" t="inlineStr">
        <is>
          <t>amyloid</t>
        </is>
      </c>
      <c r="C439" t="n">
        <v>2.97</v>
      </c>
      <c r="D439" t="n">
        <v>4.8</v>
      </c>
      <c r="E439" t="n">
        <v>-0.42</v>
      </c>
      <c r="F439" t="inlineStr">
        <is>
          <t>C2</t>
        </is>
      </c>
      <c r="G439" t="inlineStr">
        <is>
          <t>4.8</t>
        </is>
      </c>
      <c r="H439" t="n">
        <v>-0.42</v>
      </c>
      <c r="I439" t="inlineStr">
        <is>
          <t>C2</t>
        </is>
      </c>
      <c r="J439" t="n">
        <v>0</v>
      </c>
      <c r="K439" t="inlineStr"/>
      <c r="L439" t="n">
        <v>0.85575</v>
      </c>
      <c r="M439" t="n">
        <v>0.85575</v>
      </c>
      <c r="N439" t="inlineStr">
        <is>
          <t>Yes</t>
        </is>
      </c>
      <c r="O439" t="inlineStr">
        <is>
          <t>equal</t>
        </is>
      </c>
      <c r="P439" t="inlineStr">
        <is>
          <t>deposited</t>
        </is>
      </c>
      <c r="Q439" t="inlineStr"/>
      <c r="R439" t="inlineStr"/>
      <c r="S439">
        <f>HYPERLINK("https://helical-indexing-hi3d.streamlit.app/?emd_id=emd-18241&amp;rise=4.8&amp;twist=-0.42&amp;csym=2&amp;rise2=4.8&amp;twist2=-0.42&amp;csym2=2", "Link")</f>
        <v/>
      </c>
    </row>
    <row r="440">
      <c r="A440" t="inlineStr">
        <is>
          <t>EMD-8910</t>
        </is>
      </c>
      <c r="B440" t="inlineStr">
        <is>
          <t>amyloid</t>
        </is>
      </c>
      <c r="C440" t="n">
        <v>3</v>
      </c>
      <c r="D440" t="n">
        <v>2.41</v>
      </c>
      <c r="E440" t="n">
        <v>179.44</v>
      </c>
      <c r="F440" t="inlineStr">
        <is>
          <t>C1</t>
        </is>
      </c>
      <c r="G440" t="inlineStr">
        <is>
          <t>2.41</t>
        </is>
      </c>
      <c r="H440" t="n">
        <v>179.44</v>
      </c>
      <c r="I440" t="inlineStr">
        <is>
          <t>C1</t>
        </is>
      </c>
      <c r="J440" t="n">
        <v>0</v>
      </c>
      <c r="K440" t="inlineStr"/>
      <c r="L440" t="n">
        <v>0.8174</v>
      </c>
      <c r="M440" t="n">
        <v>0.8174</v>
      </c>
      <c r="N440" t="inlineStr">
        <is>
          <t>Yes</t>
        </is>
      </c>
      <c r="O440" t="inlineStr">
        <is>
          <t>equal</t>
        </is>
      </c>
      <c r="P440" t="inlineStr">
        <is>
          <t>deposited</t>
        </is>
      </c>
      <c r="Q440" t="inlineStr"/>
      <c r="R440" t="inlineStr"/>
      <c r="S440">
        <f>HYPERLINK("https://helical-indexing-hi3d.streamlit.app/?emd_id=emd-8910&amp;rise=2.41&amp;twist=179.44&amp;csym=1&amp;rise2=2.41&amp;twist2=179.44&amp;csym2=1", "Link")</f>
        <v/>
      </c>
    </row>
    <row r="441">
      <c r="A441" t="inlineStr">
        <is>
          <t>EMD-29037</t>
        </is>
      </c>
      <c r="B441" t="inlineStr">
        <is>
          <t>amyloid</t>
        </is>
      </c>
      <c r="C441" t="n">
        <v>3.09</v>
      </c>
      <c r="D441" t="n">
        <v>2.44</v>
      </c>
      <c r="E441" t="n">
        <v>179.75</v>
      </c>
      <c r="F441" t="inlineStr">
        <is>
          <t>C1</t>
        </is>
      </c>
      <c r="G441" t="inlineStr">
        <is>
          <t>2.44</t>
        </is>
      </c>
      <c r="H441" t="n">
        <v>179.75</v>
      </c>
      <c r="I441" t="inlineStr">
        <is>
          <t>C1</t>
        </is>
      </c>
      <c r="J441" t="n">
        <v>0</v>
      </c>
      <c r="K441" t="inlineStr"/>
      <c r="L441" t="n">
        <v>0.9559</v>
      </c>
      <c r="M441" t="n">
        <v>0.9559</v>
      </c>
      <c r="N441" t="inlineStr">
        <is>
          <t>Yes</t>
        </is>
      </c>
      <c r="O441" t="inlineStr">
        <is>
          <t>equal</t>
        </is>
      </c>
      <c r="P441" t="inlineStr">
        <is>
          <t>deposited</t>
        </is>
      </c>
      <c r="Q441" t="inlineStr"/>
      <c r="R441" t="inlineStr"/>
      <c r="S441">
        <f>HYPERLINK("https://helical-indexing-hi3d.streamlit.app/?emd_id=emd-29037&amp;rise=2.44&amp;twist=179.75&amp;csym=1&amp;rise2=2.44&amp;twist2=179.75&amp;csym2=1", "Link")</f>
        <v/>
      </c>
    </row>
    <row r="442">
      <c r="A442" t="inlineStr">
        <is>
          <t>EMD-18874</t>
        </is>
      </c>
      <c r="B442" t="inlineStr">
        <is>
          <t>amyloid</t>
        </is>
      </c>
      <c r="C442" t="n">
        <v>3.1</v>
      </c>
      <c r="D442" t="n">
        <v>4.72</v>
      </c>
      <c r="E442" t="n">
        <v>-0.88</v>
      </c>
      <c r="F442" t="inlineStr">
        <is>
          <t>C1</t>
        </is>
      </c>
      <c r="G442" t="inlineStr">
        <is>
          <t>4.72</t>
        </is>
      </c>
      <c r="H442" t="n">
        <v>-0.88</v>
      </c>
      <c r="I442" t="inlineStr">
        <is>
          <t>C1</t>
        </is>
      </c>
      <c r="J442" t="n">
        <v>0</v>
      </c>
      <c r="K442" t="inlineStr"/>
      <c r="L442" t="n">
        <v>0.8178800000000001</v>
      </c>
      <c r="M442" t="n">
        <v>0.8178800000000001</v>
      </c>
      <c r="N442" t="inlineStr">
        <is>
          <t>Yes</t>
        </is>
      </c>
      <c r="O442" t="inlineStr">
        <is>
          <t>equal</t>
        </is>
      </c>
      <c r="P442" t="inlineStr">
        <is>
          <t>deposited</t>
        </is>
      </c>
      <c r="Q442" t="inlineStr"/>
      <c r="R442" t="inlineStr"/>
      <c r="S442">
        <f>HYPERLINK("https://helical-indexing-hi3d.streamlit.app/?emd_id=emd-18874&amp;rise=4.72&amp;twist=-0.88&amp;csym=1&amp;rise2=4.72&amp;twist2=-0.88&amp;csym2=1", "Link")</f>
        <v/>
      </c>
    </row>
    <row r="443">
      <c r="A443" t="inlineStr">
        <is>
          <t>EMD-0259</t>
        </is>
      </c>
      <c r="B443" t="inlineStr">
        <is>
          <t>amyloid</t>
        </is>
      </c>
      <c r="C443" t="n">
        <v>3.2</v>
      </c>
      <c r="D443" t="n">
        <v>2.37</v>
      </c>
      <c r="E443" t="n">
        <v>179.45</v>
      </c>
      <c r="F443" t="inlineStr">
        <is>
          <t>C1</t>
        </is>
      </c>
      <c r="G443" t="inlineStr">
        <is>
          <t>4.666</t>
        </is>
      </c>
      <c r="H443" t="n">
        <v>-1.033</v>
      </c>
      <c r="I443" t="inlineStr">
        <is>
          <t>C1</t>
        </is>
      </c>
      <c r="J443" t="n">
        <v>39.65476666122262</v>
      </c>
      <c r="K443" t="inlineStr">
        <is>
          <t> </t>
        </is>
      </c>
      <c r="L443" t="n">
        <v>0.3139</v>
      </c>
      <c r="M443" t="n">
        <v>0.43739</v>
      </c>
      <c r="N443" t="inlineStr">
        <is>
          <t>Excluded</t>
        </is>
      </c>
      <c r="O443" t="inlineStr"/>
      <c r="P443" t="inlineStr">
        <is>
          <t>xy-shifted</t>
        </is>
      </c>
      <c r="Q443" t="inlineStr"/>
      <c r="R443" t="inlineStr"/>
      <c r="S443">
        <f>HYPERLINK("https://helical-indexing-hi3d.streamlit.app/?emd_id=emd-0259&amp;rise=4.666&amp;twist=-1.033&amp;csym=1&amp;rise2=2.37&amp;twist2=179.45&amp;csym2=1", "Link")</f>
        <v/>
      </c>
    </row>
    <row r="444">
      <c r="A444" t="inlineStr">
        <is>
          <t>EMD-25995</t>
        </is>
      </c>
      <c r="B444" t="inlineStr">
        <is>
          <t>amyloid</t>
        </is>
      </c>
      <c r="C444" t="n">
        <v>3.25</v>
      </c>
      <c r="D444" t="n">
        <v>4.79</v>
      </c>
      <c r="E444" t="n">
        <v>-0.43</v>
      </c>
      <c r="F444" t="inlineStr">
        <is>
          <t>C1</t>
        </is>
      </c>
      <c r="G444" t="inlineStr">
        <is>
          <t>4.79</t>
        </is>
      </c>
      <c r="H444" t="n">
        <v>-0.43</v>
      </c>
      <c r="I444" t="inlineStr">
        <is>
          <t>C1</t>
        </is>
      </c>
      <c r="J444" t="n">
        <v>0</v>
      </c>
      <c r="K444" t="inlineStr">
        <is>
          <t>z -&gt; x</t>
        </is>
      </c>
      <c r="L444" t="n">
        <v>0.91908</v>
      </c>
      <c r="M444" t="n">
        <v>0.91908</v>
      </c>
      <c r="N444" t="inlineStr">
        <is>
          <t>Yes</t>
        </is>
      </c>
      <c r="O444" t="inlineStr">
        <is>
          <t>equal</t>
        </is>
      </c>
      <c r="P444" t="inlineStr">
        <is>
          <t>deposited</t>
        </is>
      </c>
      <c r="Q444" t="inlineStr"/>
      <c r="R444" t="inlineStr"/>
      <c r="S444">
        <f>HYPERLINK("https://helical-indexing-hi3d.streamlit.app/?emd_id=emd-25995&amp;rise=4.79&amp;twist=-0.43&amp;csym=1&amp;rise2=4.79&amp;twist2=-0.43&amp;csym2=1", "Link")</f>
        <v/>
      </c>
    </row>
    <row r="445">
      <c r="A445" t="inlineStr">
        <is>
          <t>EMD-0260</t>
        </is>
      </c>
      <c r="B445" t="inlineStr">
        <is>
          <t>amyloid</t>
        </is>
      </c>
      <c r="C445" t="n">
        <v>3.3</v>
      </c>
      <c r="D445" t="n">
        <v>4.76</v>
      </c>
      <c r="E445" t="n">
        <v>-1.04</v>
      </c>
      <c r="F445" t="inlineStr">
        <is>
          <t>C1</t>
        </is>
      </c>
      <c r="G445" t="inlineStr">
        <is>
          <t>4.79</t>
        </is>
      </c>
      <c r="H445" t="n">
        <v>-1.08</v>
      </c>
      <c r="I445" t="inlineStr">
        <is>
          <t>C1</t>
        </is>
      </c>
      <c r="J445" t="n">
        <v>0.0363810392440016</v>
      </c>
      <c r="K445" t="inlineStr"/>
      <c r="L445" t="n">
        <v>0.86205</v>
      </c>
      <c r="M445" t="n">
        <v>0.86708</v>
      </c>
      <c r="N445" t="inlineStr">
        <is>
          <t>Yes</t>
        </is>
      </c>
      <c r="O445" t="inlineStr">
        <is>
          <t>improve</t>
        </is>
      </c>
      <c r="P445" t="inlineStr">
        <is>
          <t>adjusted decimals</t>
        </is>
      </c>
      <c r="Q445" t="inlineStr"/>
      <c r="R445" t="inlineStr"/>
      <c r="S445">
        <f>HYPERLINK("https://helical-indexing-hi3d.streamlit.app/?emd_id=emd-0260&amp;rise=4.79&amp;twist=-1.08&amp;csym=1&amp;rise2=4.76&amp;twist2=-1.04&amp;csym2=1", "Link")</f>
        <v/>
      </c>
    </row>
    <row r="446">
      <c r="A446" t="inlineStr">
        <is>
          <t>EMD-21207</t>
        </is>
      </c>
      <c r="B446" t="inlineStr">
        <is>
          <t>amyloid</t>
        </is>
      </c>
      <c r="C446" t="n">
        <v>3.3</v>
      </c>
      <c r="D446" t="n">
        <v>2.353</v>
      </c>
      <c r="E446" t="n">
        <v>179.417</v>
      </c>
      <c r="F446" t="inlineStr">
        <is>
          <t>C1</t>
        </is>
      </c>
      <c r="G446" t="inlineStr">
        <is>
          <t>2.353</t>
        </is>
      </c>
      <c r="H446" t="n">
        <v>179.417</v>
      </c>
      <c r="I446" t="inlineStr">
        <is>
          <t>C1</t>
        </is>
      </c>
      <c r="J446" t="n">
        <v>0</v>
      </c>
      <c r="K446" t="inlineStr"/>
      <c r="L446" t="n">
        <v>0.72097</v>
      </c>
      <c r="M446" t="n">
        <v>0.72097</v>
      </c>
      <c r="N446" t="inlineStr">
        <is>
          <t>No</t>
        </is>
      </c>
      <c r="O446" t="inlineStr">
        <is>
          <t>equal</t>
        </is>
      </c>
      <c r="P446" t="inlineStr">
        <is>
          <t>adjusted decimals</t>
        </is>
      </c>
      <c r="Q446" t="inlineStr"/>
      <c r="R446" t="inlineStr"/>
      <c r="S446">
        <f>HYPERLINK("https://helical-indexing-hi3d.streamlit.app/?emd_id=emd-21207&amp;rise=2.353&amp;twist=179.417&amp;csym=1&amp;rise2=2.353&amp;twist2=179.417&amp;csym2=1", "Link")</f>
        <v/>
      </c>
    </row>
    <row r="447">
      <c r="A447" t="inlineStr">
        <is>
          <t>EMD-26427</t>
        </is>
      </c>
      <c r="B447" t="inlineStr">
        <is>
          <t>amyloid</t>
        </is>
      </c>
      <c r="C447" t="n">
        <v>3.38</v>
      </c>
      <c r="D447" t="n">
        <v>2.418</v>
      </c>
      <c r="E447" t="n">
        <v>179.504</v>
      </c>
      <c r="F447" t="inlineStr">
        <is>
          <t>C1</t>
        </is>
      </c>
      <c r="G447" t="inlineStr">
        <is>
          <t>2.418</t>
        </is>
      </c>
      <c r="H447" t="n">
        <v>179.504</v>
      </c>
      <c r="I447" t="inlineStr">
        <is>
          <t>C1</t>
        </is>
      </c>
      <c r="J447" t="n">
        <v>0</v>
      </c>
      <c r="K447" t="inlineStr"/>
      <c r="L447" t="n">
        <v>0.88798</v>
      </c>
      <c r="M447" t="n">
        <v>0.88798</v>
      </c>
      <c r="N447" t="inlineStr">
        <is>
          <t>Yes</t>
        </is>
      </c>
      <c r="O447" t="inlineStr">
        <is>
          <t>equal</t>
        </is>
      </c>
      <c r="P447" t="inlineStr">
        <is>
          <t>deposited</t>
        </is>
      </c>
      <c r="Q447" t="inlineStr"/>
      <c r="R447" t="inlineStr"/>
      <c r="S447">
        <f>HYPERLINK("https://helical-indexing-hi3d.streamlit.app/?emd_id=emd-26427&amp;rise=2.418&amp;twist=179.504&amp;csym=1&amp;rise2=2.418&amp;twist2=179.504&amp;csym2=1", "Link")</f>
        <v/>
      </c>
    </row>
    <row r="448">
      <c r="A448" t="inlineStr">
        <is>
          <t>EMD-17736</t>
        </is>
      </c>
      <c r="B448" t="inlineStr">
        <is>
          <t>amyloid</t>
        </is>
      </c>
      <c r="C448" t="n">
        <v>3.39</v>
      </c>
      <c r="D448" t="n">
        <v>4.82</v>
      </c>
      <c r="E448" t="n">
        <v>-1.29</v>
      </c>
      <c r="F448" t="inlineStr">
        <is>
          <t>C1</t>
        </is>
      </c>
      <c r="G448" t="inlineStr">
        <is>
          <t>4.82</t>
        </is>
      </c>
      <c r="H448" t="n">
        <v>-1.29</v>
      </c>
      <c r="I448" t="inlineStr">
        <is>
          <t>C1</t>
        </is>
      </c>
      <c r="J448" t="n">
        <v>0</v>
      </c>
      <c r="K448" t="inlineStr"/>
      <c r="L448" t="n">
        <v>0.85285</v>
      </c>
      <c r="M448" t="n">
        <v>0.85285</v>
      </c>
      <c r="N448" t="inlineStr">
        <is>
          <t>Yes</t>
        </is>
      </c>
      <c r="O448" t="inlineStr">
        <is>
          <t>equal</t>
        </is>
      </c>
      <c r="P448" t="inlineStr">
        <is>
          <t>deposited</t>
        </is>
      </c>
      <c r="Q448" t="inlineStr"/>
      <c r="R448" t="inlineStr"/>
      <c r="S448">
        <f>HYPERLINK("https://helical-indexing-hi3d.streamlit.app/?emd_id=emd-17736&amp;rise=4.82&amp;twist=-1.29&amp;csym=1&amp;rise2=4.82&amp;twist2=-1.29&amp;csym2=1", "Link")</f>
        <v/>
      </c>
    </row>
    <row r="449">
      <c r="A449" t="inlineStr">
        <is>
          <t>EMD-28943</t>
        </is>
      </c>
      <c r="B449" t="inlineStr">
        <is>
          <t>amyloid</t>
        </is>
      </c>
      <c r="C449" t="n">
        <v>3.4</v>
      </c>
      <c r="D449" t="n">
        <v>4.8</v>
      </c>
      <c r="E449" t="n">
        <v>-0.42</v>
      </c>
      <c r="F449" t="inlineStr">
        <is>
          <t>C1</t>
        </is>
      </c>
      <c r="G449" t="inlineStr">
        <is>
          <t>4.8</t>
        </is>
      </c>
      <c r="H449" t="n">
        <v>-0.42</v>
      </c>
      <c r="I449" t="inlineStr">
        <is>
          <t>C1</t>
        </is>
      </c>
      <c r="J449" t="n">
        <v>0</v>
      </c>
      <c r="K449" t="inlineStr"/>
      <c r="L449" t="n">
        <v>0.94919</v>
      </c>
      <c r="M449" t="n">
        <v>0.94919</v>
      </c>
      <c r="N449" t="inlineStr">
        <is>
          <t>Yes</t>
        </is>
      </c>
      <c r="O449" t="inlineStr">
        <is>
          <t>equal</t>
        </is>
      </c>
      <c r="P449" t="inlineStr">
        <is>
          <t>deposited</t>
        </is>
      </c>
      <c r="Q449" t="inlineStr"/>
      <c r="R449" t="inlineStr"/>
      <c r="S449">
        <f>HYPERLINK("https://helical-indexing-hi3d.streamlit.app/?emd_id=emd-28943&amp;rise=4.8&amp;twist=-0.42&amp;csym=1&amp;rise2=4.8&amp;twist2=-0.42&amp;csym2=1", "Link")</f>
        <v/>
      </c>
    </row>
    <row r="450">
      <c r="A450" t="inlineStr">
        <is>
          <t>EMD-35405</t>
        </is>
      </c>
      <c r="B450" t="inlineStr">
        <is>
          <t>amyloid</t>
        </is>
      </c>
      <c r="C450" t="n">
        <v>3.43</v>
      </c>
      <c r="D450" t="n">
        <v>2.37</v>
      </c>
      <c r="E450" t="n">
        <v>179.46</v>
      </c>
      <c r="F450" t="inlineStr">
        <is>
          <t>C1</t>
        </is>
      </c>
      <c r="G450" t="inlineStr">
        <is>
          <t>2.37</t>
        </is>
      </c>
      <c r="H450" t="n">
        <v>179.46</v>
      </c>
      <c r="I450" t="inlineStr">
        <is>
          <t>C1</t>
        </is>
      </c>
      <c r="J450" t="n">
        <v>0</v>
      </c>
      <c r="K450" t="inlineStr"/>
      <c r="L450" t="n">
        <v>0.95063</v>
      </c>
      <c r="M450" t="n">
        <v>0.95063</v>
      </c>
      <c r="N450" t="inlineStr">
        <is>
          <t>Yes</t>
        </is>
      </c>
      <c r="O450" t="inlineStr">
        <is>
          <t>equal</t>
        </is>
      </c>
      <c r="P450" t="inlineStr">
        <is>
          <t>deposited</t>
        </is>
      </c>
      <c r="Q450" t="inlineStr"/>
      <c r="R450" t="inlineStr"/>
      <c r="S450">
        <f>HYPERLINK("https://helical-indexing-hi3d.streamlit.app/?emd_id=emd-35405&amp;rise=2.37&amp;twist=179.46&amp;csym=1&amp;rise2=2.37&amp;twist2=179.46&amp;csym2=1", "Link")</f>
        <v/>
      </c>
    </row>
    <row r="451">
      <c r="A451" t="inlineStr">
        <is>
          <t>EMD-16434</t>
        </is>
      </c>
      <c r="B451" t="inlineStr">
        <is>
          <t>amyloid</t>
        </is>
      </c>
      <c r="C451" t="n">
        <v>3.5</v>
      </c>
      <c r="D451" t="n">
        <v>2.4</v>
      </c>
      <c r="E451" t="n">
        <v>179.2</v>
      </c>
      <c r="F451" t="inlineStr">
        <is>
          <t>C1</t>
        </is>
      </c>
      <c r="G451" t="inlineStr">
        <is>
          <t>2.4</t>
        </is>
      </c>
      <c r="H451" t="n">
        <v>179.2</v>
      </c>
      <c r="I451" t="inlineStr">
        <is>
          <t>C1</t>
        </is>
      </c>
      <c r="J451" t="n">
        <v>0</v>
      </c>
      <c r="K451" t="inlineStr"/>
      <c r="L451" t="n">
        <v>0.94785</v>
      </c>
      <c r="M451" t="n">
        <v>0.94785</v>
      </c>
      <c r="N451" t="inlineStr">
        <is>
          <t>Yes</t>
        </is>
      </c>
      <c r="O451" t="inlineStr">
        <is>
          <t>equal</t>
        </is>
      </c>
      <c r="P451" t="inlineStr">
        <is>
          <t>deposited</t>
        </is>
      </c>
      <c r="Q451" t="inlineStr"/>
      <c r="R451" t="inlineStr"/>
      <c r="S451">
        <f>HYPERLINK("https://helical-indexing-hi3d.streamlit.app/?emd_id=emd-16434&amp;rise=2.4&amp;twist=179.2&amp;csym=1&amp;rise2=2.4&amp;twist2=179.2&amp;csym2=1", "Link")</f>
        <v/>
      </c>
    </row>
    <row r="452">
      <c r="A452" t="inlineStr">
        <is>
          <t>EMD-16608</t>
        </is>
      </c>
      <c r="B452" t="inlineStr">
        <is>
          <t>amyloid</t>
        </is>
      </c>
      <c r="C452" t="n">
        <v>3.5</v>
      </c>
      <c r="D452" t="n">
        <v>4.82</v>
      </c>
      <c r="E452" t="n">
        <v>-0.9399999999999999</v>
      </c>
      <c r="F452" t="inlineStr">
        <is>
          <t>C1</t>
        </is>
      </c>
      <c r="G452" t="inlineStr">
        <is>
          <t>4.82</t>
        </is>
      </c>
      <c r="H452" t="n">
        <v>-0.9399999999999999</v>
      </c>
      <c r="I452" t="inlineStr">
        <is>
          <t>C1</t>
        </is>
      </c>
      <c r="J452" t="n">
        <v>0</v>
      </c>
      <c r="K452" t="inlineStr"/>
      <c r="L452" t="n">
        <v>0.95831</v>
      </c>
      <c r="M452" t="n">
        <v>0.95831</v>
      </c>
      <c r="N452" t="inlineStr">
        <is>
          <t>Yes</t>
        </is>
      </c>
      <c r="O452" t="inlineStr">
        <is>
          <t>equal</t>
        </is>
      </c>
      <c r="P452" t="inlineStr">
        <is>
          <t>deposited</t>
        </is>
      </c>
      <c r="Q452" t="inlineStr"/>
      <c r="R452" t="inlineStr"/>
      <c r="S452">
        <f>HYPERLINK("https://helical-indexing-hi3d.streamlit.app/?emd_id=emd-16608&amp;rise=4.82&amp;twist=-0.94&amp;csym=1&amp;rise2=4.82&amp;twist2=-0.94&amp;csym2=1", "Link")</f>
        <v/>
      </c>
    </row>
    <row r="453">
      <c r="A453" t="inlineStr">
        <is>
          <t>EMD-3742</t>
        </is>
      </c>
      <c r="B453" t="inlineStr">
        <is>
          <t>amyloid</t>
        </is>
      </c>
      <c r="C453" t="n">
        <v>3.5</v>
      </c>
      <c r="D453" t="n">
        <v>2.36</v>
      </c>
      <c r="E453" t="n">
        <v>179.4</v>
      </c>
      <c r="F453" t="inlineStr">
        <is>
          <t>C1</t>
        </is>
      </c>
      <c r="G453" t="inlineStr">
        <is>
          <t>4.56</t>
        </is>
      </c>
      <c r="H453" t="n">
        <v>-1.212</v>
      </c>
      <c r="I453" t="inlineStr">
        <is>
          <t>C1</t>
        </is>
      </c>
      <c r="J453" t="n">
        <v>51.73261115913402</v>
      </c>
      <c r="K453" t="inlineStr">
        <is>
          <t> </t>
        </is>
      </c>
      <c r="L453" t="n">
        <v>0.56245</v>
      </c>
      <c r="M453" t="n">
        <v>0.71511</v>
      </c>
      <c r="N453" t="inlineStr">
        <is>
          <t>Excluded</t>
        </is>
      </c>
      <c r="O453" t="inlineStr"/>
      <c r="P453" t="inlineStr">
        <is>
          <t>xy-shifted</t>
        </is>
      </c>
      <c r="Q453" t="inlineStr"/>
      <c r="R453" t="inlineStr"/>
      <c r="S453">
        <f>HYPERLINK("https://helical-indexing-hi3d.streamlit.app/?emd_id=emd-3742&amp;rise=4.56&amp;twist=-1.212&amp;csym=1&amp;rise2=2.36&amp;twist2=179.4&amp;csym2=1", "Link")</f>
        <v/>
      </c>
    </row>
    <row r="454">
      <c r="A454" t="inlineStr">
        <is>
          <t>EMD-12553</t>
        </is>
      </c>
      <c r="B454" t="inlineStr">
        <is>
          <t>amyloid</t>
        </is>
      </c>
      <c r="C454" t="n">
        <v>3.55</v>
      </c>
      <c r="D454" t="n">
        <v>2.37</v>
      </c>
      <c r="E454" t="n">
        <v>179.44</v>
      </c>
      <c r="F454" t="inlineStr">
        <is>
          <t>C1</t>
        </is>
      </c>
      <c r="G454" t="inlineStr">
        <is>
          <t>2.37</t>
        </is>
      </c>
      <c r="H454" t="n">
        <v>179.44</v>
      </c>
      <c r="I454" t="inlineStr">
        <is>
          <t>C1</t>
        </is>
      </c>
      <c r="J454" t="n">
        <v>0</v>
      </c>
      <c r="K454" t="inlineStr"/>
      <c r="L454" t="n">
        <v>0.95223</v>
      </c>
      <c r="M454" t="n">
        <v>0.95223</v>
      </c>
      <c r="N454" t="inlineStr">
        <is>
          <t>Yes</t>
        </is>
      </c>
      <c r="O454" t="inlineStr">
        <is>
          <t>equal</t>
        </is>
      </c>
      <c r="P454" t="inlineStr">
        <is>
          <t>deposited</t>
        </is>
      </c>
      <c r="Q454" t="inlineStr"/>
      <c r="R454" t="inlineStr"/>
      <c r="S454">
        <f>HYPERLINK("https://helical-indexing-hi3d.streamlit.app/?emd_id=emd-12553&amp;rise=2.37&amp;twist=179.44&amp;csym=1&amp;rise2=2.37&amp;twist2=179.44&amp;csym2=1", "Link")</f>
        <v/>
      </c>
    </row>
    <row r="455">
      <c r="A455" t="inlineStr">
        <is>
          <t>EMD-18242</t>
        </is>
      </c>
      <c r="B455" t="inlineStr">
        <is>
          <t>amyloid</t>
        </is>
      </c>
      <c r="C455" t="n">
        <v>3.56</v>
      </c>
      <c r="D455" t="n">
        <v>4.82</v>
      </c>
      <c r="E455" t="n">
        <v>-0.43</v>
      </c>
      <c r="F455" t="inlineStr">
        <is>
          <t>C2</t>
        </is>
      </c>
      <c r="G455" t="inlineStr">
        <is>
          <t>4.82</t>
        </is>
      </c>
      <c r="H455" t="n">
        <v>-0.43</v>
      </c>
      <c r="I455" t="inlineStr">
        <is>
          <t>C2</t>
        </is>
      </c>
      <c r="J455" t="n">
        <v>0</v>
      </c>
      <c r="K455" t="inlineStr">
        <is>
          <t> </t>
        </is>
      </c>
      <c r="L455" t="n">
        <v>0.84629</v>
      </c>
      <c r="M455" t="n">
        <v>0.84629</v>
      </c>
      <c r="N455" t="inlineStr">
        <is>
          <t>Yes</t>
        </is>
      </c>
      <c r="O455" t="inlineStr">
        <is>
          <t>equal</t>
        </is>
      </c>
      <c r="P455" t="inlineStr">
        <is>
          <t>deposited</t>
        </is>
      </c>
      <c r="Q455" t="inlineStr"/>
      <c r="R455" t="inlineStr"/>
      <c r="S455">
        <f>HYPERLINK("https://helical-indexing-hi3d.streamlit.app/?emd_id=emd-18242&amp;rise=4.82&amp;twist=-0.43&amp;csym=2&amp;rise2=4.82&amp;twist2=-0.43&amp;csym2=2", "Link")</f>
        <v/>
      </c>
    </row>
    <row r="456">
      <c r="A456" t="inlineStr">
        <is>
          <t>EMD-16604</t>
        </is>
      </c>
      <c r="B456" t="inlineStr">
        <is>
          <t>amyloid</t>
        </is>
      </c>
      <c r="C456" t="n">
        <v>3.6</v>
      </c>
      <c r="D456" t="n">
        <v>4.79</v>
      </c>
      <c r="E456" t="n">
        <v>-0.93</v>
      </c>
      <c r="F456" t="inlineStr">
        <is>
          <t>C1</t>
        </is>
      </c>
      <c r="G456" t="inlineStr">
        <is>
          <t>4.79</t>
        </is>
      </c>
      <c r="H456" t="n">
        <v>-0.93</v>
      </c>
      <c r="I456" t="inlineStr">
        <is>
          <t>C1</t>
        </is>
      </c>
      <c r="J456" t="n">
        <v>0</v>
      </c>
      <c r="K456" t="inlineStr"/>
      <c r="L456" t="n">
        <v>0.95327</v>
      </c>
      <c r="M456" t="n">
        <v>0.95327</v>
      </c>
      <c r="N456" t="inlineStr">
        <is>
          <t>Yes</t>
        </is>
      </c>
      <c r="O456" t="inlineStr">
        <is>
          <t>equal</t>
        </is>
      </c>
      <c r="P456" t="inlineStr">
        <is>
          <t>deposited</t>
        </is>
      </c>
      <c r="Q456" t="inlineStr"/>
      <c r="R456" t="inlineStr"/>
      <c r="S456">
        <f>HYPERLINK("https://helical-indexing-hi3d.streamlit.app/?emd_id=emd-16604&amp;rise=4.79&amp;twist=-0.93&amp;csym=1&amp;rise2=4.79&amp;twist2=-0.93&amp;csym2=1", "Link")</f>
        <v/>
      </c>
    </row>
    <row r="457">
      <c r="A457" t="inlineStr">
        <is>
          <t>EMD-35407</t>
        </is>
      </c>
      <c r="B457" t="inlineStr">
        <is>
          <t>amyloid</t>
        </is>
      </c>
      <c r="C457" t="n">
        <v>3.66</v>
      </c>
      <c r="D457" t="n">
        <v>2.38</v>
      </c>
      <c r="E457" t="n">
        <v>179.47</v>
      </c>
      <c r="F457" t="inlineStr">
        <is>
          <t>C1</t>
        </is>
      </c>
      <c r="G457" t="inlineStr">
        <is>
          <t>2.38</t>
        </is>
      </c>
      <c r="H457" t="n">
        <v>179.47</v>
      </c>
      <c r="I457" t="inlineStr">
        <is>
          <t>C1</t>
        </is>
      </c>
      <c r="J457" t="n">
        <v>0</v>
      </c>
      <c r="K457" t="inlineStr"/>
      <c r="L457" t="n">
        <v>0.9537099999999999</v>
      </c>
      <c r="M457" t="n">
        <v>0.9537099999999999</v>
      </c>
      <c r="N457" t="inlineStr">
        <is>
          <t>Yes</t>
        </is>
      </c>
      <c r="O457" t="inlineStr">
        <is>
          <t>equal</t>
        </is>
      </c>
      <c r="P457" t="inlineStr">
        <is>
          <t>deposited</t>
        </is>
      </c>
      <c r="Q457" t="inlineStr"/>
      <c r="R457" t="inlineStr"/>
      <c r="S457">
        <f>HYPERLINK("https://helical-indexing-hi3d.streamlit.app/?emd_id=emd-35407&amp;rise=2.38&amp;twist=179.47&amp;csym=1&amp;rise2=2.38&amp;twist2=179.47&amp;csym2=1", "Link")</f>
        <v/>
      </c>
    </row>
    <row r="458">
      <c r="A458" t="inlineStr">
        <is>
          <t>EMD-21200</t>
        </is>
      </c>
      <c r="B458" t="inlineStr">
        <is>
          <t>amyloid</t>
        </is>
      </c>
      <c r="C458" t="n">
        <v>3.8</v>
      </c>
      <c r="D458" t="n">
        <v>4.8</v>
      </c>
      <c r="E458" t="n">
        <v>-0.6</v>
      </c>
      <c r="F458" t="inlineStr">
        <is>
          <t>C2</t>
        </is>
      </c>
      <c r="G458" t="inlineStr">
        <is>
          <t>4.7424</t>
        </is>
      </c>
      <c r="H458" t="n">
        <v>-0.6096</v>
      </c>
      <c r="I458" t="inlineStr">
        <is>
          <t>C2</t>
        </is>
      </c>
      <c r="J458" t="n">
        <v>0.05768433</v>
      </c>
      <c r="K458" t="inlineStr">
        <is>
          <t> </t>
        </is>
      </c>
      <c r="L458" t="n">
        <v>0.60684</v>
      </c>
      <c r="M458" t="n">
        <v>0.60765</v>
      </c>
      <c r="N458" t="inlineStr">
        <is>
          <t>No</t>
        </is>
      </c>
      <c r="O458" t="inlineStr">
        <is>
          <t>improve</t>
        </is>
      </c>
      <c r="P458" t="inlineStr">
        <is>
          <t>adjusted decimals</t>
        </is>
      </c>
      <c r="Q458" t="inlineStr"/>
      <c r="R458" t="inlineStr"/>
      <c r="S458">
        <f>HYPERLINK("https://helical-indexing-hi3d.streamlit.app/?emd_id=emd-21200&amp;rise=4.7424&amp;twist=-0.6096&amp;csym=2&amp;rise2=4.8&amp;twist2=-0.6&amp;csym2=2", "Link")</f>
        <v/>
      </c>
    </row>
    <row r="459">
      <c r="A459" t="inlineStr">
        <is>
          <t>EMD-10670</t>
        </is>
      </c>
      <c r="B459" t="inlineStr">
        <is>
          <t>amyloid</t>
        </is>
      </c>
      <c r="C459" t="n">
        <v>4.2</v>
      </c>
      <c r="D459" t="n">
        <v>2.352</v>
      </c>
      <c r="E459" t="n">
        <v>179.1</v>
      </c>
      <c r="F459" t="inlineStr">
        <is>
          <t>C1</t>
        </is>
      </c>
      <c r="G459" t="inlineStr">
        <is>
          <t>2.352</t>
        </is>
      </c>
      <c r="H459" t="n">
        <v>179.1</v>
      </c>
      <c r="I459" t="inlineStr">
        <is>
          <t>C1</t>
        </is>
      </c>
      <c r="J459" t="n">
        <v>0</v>
      </c>
      <c r="K459" t="inlineStr"/>
      <c r="L459" t="n">
        <v>0.96209</v>
      </c>
      <c r="M459" t="n">
        <v>0.96209</v>
      </c>
      <c r="N459" t="inlineStr">
        <is>
          <t>Yes</t>
        </is>
      </c>
      <c r="O459" t="inlineStr">
        <is>
          <t>equal</t>
        </is>
      </c>
      <c r="P459" t="inlineStr">
        <is>
          <t>deposited</t>
        </is>
      </c>
      <c r="Q459" t="inlineStr"/>
      <c r="R459" t="inlineStr"/>
      <c r="S459">
        <f>HYPERLINK("https://helical-indexing-hi3d.streamlit.app/?emd_id=emd-10670&amp;rise=2.352&amp;twist=179.1&amp;csym=1&amp;rise2=2.352&amp;twist2=179.1&amp;csym2=1", "Link")</f>
        <v/>
      </c>
    </row>
    <row r="460">
      <c r="A460" t="inlineStr">
        <is>
          <t>EMD-22051</t>
        </is>
      </c>
      <c r="B460" t="inlineStr">
        <is>
          <t>amyloid</t>
        </is>
      </c>
      <c r="C460" t="n">
        <v>4.3</v>
      </c>
      <c r="D460" t="n">
        <v>4.9</v>
      </c>
      <c r="E460" t="n">
        <v>2.3</v>
      </c>
      <c r="F460" t="inlineStr">
        <is>
          <t>C7</t>
        </is>
      </c>
      <c r="G460" t="inlineStr">
        <is>
          <t>4.9</t>
        </is>
      </c>
      <c r="H460" t="n">
        <v>2.3</v>
      </c>
      <c r="I460" t="inlineStr">
        <is>
          <t>C7</t>
        </is>
      </c>
      <c r="J460" t="n">
        <v>0</v>
      </c>
      <c r="K460" t="inlineStr"/>
      <c r="L460" t="n">
        <v>0.99966</v>
      </c>
      <c r="M460" t="n">
        <v>0.99966</v>
      </c>
      <c r="N460" t="inlineStr">
        <is>
          <t>Yes</t>
        </is>
      </c>
      <c r="O460" t="inlineStr">
        <is>
          <t>equal</t>
        </is>
      </c>
      <c r="P460" t="inlineStr">
        <is>
          <t>deposited</t>
        </is>
      </c>
      <c r="Q460" t="inlineStr"/>
      <c r="R460" t="inlineStr"/>
      <c r="S460">
        <f>HYPERLINK("https://helical-indexing-hi3d.streamlit.app/?emd_id=emd-22051&amp;rise=4.9&amp;twist=2.3&amp;csym=7&amp;rise2=4.9&amp;twist2=2.3&amp;csym2=7", "Link")</f>
        <v/>
      </c>
    </row>
    <row r="461">
      <c r="A461" t="inlineStr">
        <is>
          <t>EMD-21201</t>
        </is>
      </c>
      <c r="B461" t="inlineStr">
        <is>
          <t>amyloid</t>
        </is>
      </c>
      <c r="C461" t="n">
        <v>4.3</v>
      </c>
      <c r="D461" t="n">
        <v>4.8</v>
      </c>
      <c r="E461" t="n">
        <v>-0.85</v>
      </c>
      <c r="F461" t="inlineStr">
        <is>
          <t>C1</t>
        </is>
      </c>
      <c r="G461" t="inlineStr">
        <is>
          <t>4.7424</t>
        </is>
      </c>
      <c r="H461" t="n">
        <v>-0.8245</v>
      </c>
      <c r="I461" t="inlineStr">
        <is>
          <t>C1</t>
        </is>
      </c>
      <c r="J461" t="n">
        <v>0.058090068</v>
      </c>
      <c r="K461" t="inlineStr">
        <is>
          <t> </t>
        </is>
      </c>
      <c r="L461" t="n">
        <v>0.61522</v>
      </c>
      <c r="M461" t="n">
        <v>0.61555</v>
      </c>
      <c r="N461" t="inlineStr">
        <is>
          <t>Excluded</t>
        </is>
      </c>
      <c r="O461" t="inlineStr"/>
      <c r="P461" t="inlineStr">
        <is>
          <t>xy-shifted</t>
        </is>
      </c>
      <c r="Q461" t="inlineStr"/>
      <c r="R461" t="inlineStr"/>
      <c r="S461">
        <f>HYPERLINK("https://helical-indexing-hi3d.streamlit.app/?emd_id=emd-21201&amp;rise=4.7424&amp;twist=-0.8245&amp;csym=1&amp;rise2=4.8&amp;twist2=-0.85&amp;csym2=1", "Link")</f>
        <v/>
      </c>
    </row>
    <row r="462">
      <c r="A462" t="inlineStr">
        <is>
          <t>EMD-3744</t>
        </is>
      </c>
      <c r="B462" t="inlineStr">
        <is>
          <t>amyloid</t>
        </is>
      </c>
      <c r="C462" t="n">
        <v>4.9</v>
      </c>
      <c r="D462" t="n">
        <v>4.78</v>
      </c>
      <c r="E462" t="n">
        <v>-1.01</v>
      </c>
      <c r="F462" t="inlineStr">
        <is>
          <t>C1</t>
        </is>
      </c>
      <c r="G462" t="inlineStr">
        <is>
          <t>4.78</t>
        </is>
      </c>
      <c r="H462" t="n">
        <v>-1.01</v>
      </c>
      <c r="I462" t="inlineStr">
        <is>
          <t>C1</t>
        </is>
      </c>
      <c r="J462" t="n">
        <v>0</v>
      </c>
      <c r="K462" t="inlineStr">
        <is>
          <t> </t>
        </is>
      </c>
      <c r="L462" t="n">
        <v>0.83634</v>
      </c>
      <c r="M462" t="n">
        <v>0.83634</v>
      </c>
      <c r="N462" t="inlineStr">
        <is>
          <t>Yes</t>
        </is>
      </c>
      <c r="O462" t="inlineStr">
        <is>
          <t>equal</t>
        </is>
      </c>
      <c r="P462" t="inlineStr">
        <is>
          <t>deposited</t>
        </is>
      </c>
      <c r="Q462" t="inlineStr"/>
      <c r="R462" t="inlineStr"/>
      <c r="S462">
        <f>HYPERLINK("https://helical-indexing-hi3d.streamlit.app/?emd_id=emd-3744&amp;rise=4.78&amp;twist=-1.01&amp;csym=1&amp;rise2=4.78&amp;twist2=-1.01&amp;csym2=1", "Link")</f>
        <v/>
      </c>
    </row>
    <row r="463">
      <c r="A463" t="inlineStr">
        <is>
          <t>EMD-18357</t>
        </is>
      </c>
      <c r="B463" t="inlineStr">
        <is>
          <t>amyloid</t>
        </is>
      </c>
      <c r="C463" t="n">
        <v>5.02</v>
      </c>
      <c r="D463" t="n">
        <v>2.45</v>
      </c>
      <c r="E463" t="n">
        <v>179.49</v>
      </c>
      <c r="F463" t="inlineStr">
        <is>
          <t>C1</t>
        </is>
      </c>
      <c r="G463" t="inlineStr">
        <is>
          <t>2.45</t>
        </is>
      </c>
      <c r="H463" t="n">
        <v>179.49</v>
      </c>
      <c r="I463" t="inlineStr">
        <is>
          <t>C1</t>
        </is>
      </c>
      <c r="J463" t="n">
        <v>0</v>
      </c>
      <c r="K463" t="inlineStr"/>
      <c r="L463" t="n">
        <v>0.96346</v>
      </c>
      <c r="M463" t="n">
        <v>0.96346</v>
      </c>
      <c r="N463" t="inlineStr">
        <is>
          <t>Yes</t>
        </is>
      </c>
      <c r="O463" t="inlineStr">
        <is>
          <t>equal</t>
        </is>
      </c>
      <c r="P463" t="inlineStr">
        <is>
          <t>deposited</t>
        </is>
      </c>
      <c r="Q463" t="inlineStr"/>
      <c r="R463" t="inlineStr"/>
      <c r="S463">
        <f>HYPERLINK("https://helical-indexing-hi3d.streamlit.app/?emd_id=emd-18357&amp;rise=2.45&amp;twist=179.49&amp;csym=1&amp;rise2=2.45&amp;twist2=179.49&amp;csym2=1", "Link")</f>
        <v/>
      </c>
    </row>
    <row r="464">
      <c r="A464" t="inlineStr">
        <is>
          <t>EMD-12593</t>
        </is>
      </c>
      <c r="B464" t="inlineStr">
        <is>
          <t>amyloid</t>
        </is>
      </c>
      <c r="C464" t="n">
        <v>5.1</v>
      </c>
      <c r="D464" t="n">
        <v>2.29</v>
      </c>
      <c r="E464" t="n">
        <v>179.45</v>
      </c>
      <c r="F464" t="inlineStr">
        <is>
          <t>C1</t>
        </is>
      </c>
      <c r="G464" t="inlineStr">
        <is>
          <t>2.29</t>
        </is>
      </c>
      <c r="H464" t="n">
        <v>179.45</v>
      </c>
      <c r="I464" t="inlineStr">
        <is>
          <t>C1</t>
        </is>
      </c>
      <c r="J464" t="n">
        <v>0</v>
      </c>
      <c r="K464" t="inlineStr">
        <is>
          <t> </t>
        </is>
      </c>
      <c r="L464" t="n">
        <v>0.95918</v>
      </c>
      <c r="M464" t="n">
        <v>0.95918</v>
      </c>
      <c r="N464" t="inlineStr">
        <is>
          <t>Yes</t>
        </is>
      </c>
      <c r="O464" t="inlineStr">
        <is>
          <t>equal</t>
        </is>
      </c>
      <c r="P464" t="inlineStr">
        <is>
          <t>deposited</t>
        </is>
      </c>
      <c r="Q464" t="inlineStr"/>
      <c r="R464" t="inlineStr"/>
      <c r="S464">
        <f>HYPERLINK("https://helical-indexing-hi3d.streamlit.app/?emd_id=emd-12593&amp;rise=2.29&amp;twist=179.45&amp;csym=1&amp;rise2=2.29&amp;twist2=179.45&amp;csym2=1", "Link")</f>
        <v/>
      </c>
    </row>
    <row r="465">
      <c r="A465" t="inlineStr">
        <is>
          <t>EMD-4864</t>
        </is>
      </c>
      <c r="B465" t="inlineStr">
        <is>
          <t>amyloid</t>
        </is>
      </c>
      <c r="C465" t="n">
        <v>5.56</v>
      </c>
      <c r="D465" t="n">
        <v>2.46</v>
      </c>
      <c r="E465" t="n">
        <v>0.339</v>
      </c>
      <c r="F465" t="inlineStr">
        <is>
          <t>C1</t>
        </is>
      </c>
      <c r="G465" t="inlineStr">
        <is>
          <t>2.43048</t>
        </is>
      </c>
      <c r="H465" t="n">
        <v>0.32883</v>
      </c>
      <c r="I465" t="inlineStr">
        <is>
          <t>C1</t>
        </is>
      </c>
      <c r="J465" t="n">
        <v>0.029754957</v>
      </c>
      <c r="K465" t="inlineStr">
        <is>
          <t> </t>
        </is>
      </c>
      <c r="L465" t="n">
        <v>0.69561</v>
      </c>
      <c r="M465" t="n">
        <v>0.6957100000000001</v>
      </c>
      <c r="N465" t="inlineStr">
        <is>
          <t>No</t>
        </is>
      </c>
      <c r="O465" t="inlineStr">
        <is>
          <t>improve</t>
        </is>
      </c>
      <c r="P465" t="inlineStr">
        <is>
          <t>adjusted decimals</t>
        </is>
      </c>
      <c r="Q465" t="inlineStr"/>
      <c r="R465" t="inlineStr"/>
      <c r="S465">
        <f>HYPERLINK("https://helical-indexing-hi3d.streamlit.app/?emd_id=emd-4864&amp;rise=2.43048&amp;twist=0.32883&amp;csym=1&amp;rise2=2.46&amp;twist2=0.339&amp;csym2=1", "Link")</f>
        <v/>
      </c>
    </row>
    <row r="466">
      <c r="A466" t="inlineStr">
        <is>
          <t>EMD-12592</t>
        </is>
      </c>
      <c r="B466" t="inlineStr">
        <is>
          <t>amyloid</t>
        </is>
      </c>
      <c r="C466" t="n">
        <v>5.7</v>
      </c>
      <c r="D466" t="n">
        <v>2.41</v>
      </c>
      <c r="E466" t="n">
        <v>178.45</v>
      </c>
      <c r="F466" t="inlineStr">
        <is>
          <t>C1</t>
        </is>
      </c>
      <c r="G466" t="inlineStr">
        <is>
          <t>2.41</t>
        </is>
      </c>
      <c r="H466" t="n">
        <v>178.45</v>
      </c>
      <c r="I466" t="inlineStr">
        <is>
          <t>C1</t>
        </is>
      </c>
      <c r="J466" t="n">
        <v>0</v>
      </c>
      <c r="K466" t="inlineStr">
        <is>
          <t> </t>
        </is>
      </c>
      <c r="L466" t="n">
        <v>0.96331</v>
      </c>
      <c r="M466" t="n">
        <v>0.96331</v>
      </c>
      <c r="N466" t="inlineStr">
        <is>
          <t>Yes</t>
        </is>
      </c>
      <c r="O466" t="inlineStr">
        <is>
          <t>equal</t>
        </is>
      </c>
      <c r="P466" t="inlineStr">
        <is>
          <t>deposited</t>
        </is>
      </c>
      <c r="Q466" t="inlineStr"/>
      <c r="R466" t="inlineStr"/>
      <c r="S466">
        <f>HYPERLINK("https://helical-indexing-hi3d.streamlit.app/?emd_id=emd-12592&amp;rise=2.41&amp;twist=178.45&amp;csym=1&amp;rise2=2.41&amp;twist2=178.45&amp;csym2=1", "Link")</f>
        <v/>
      </c>
    </row>
    <row r="467">
      <c r="A467" t="inlineStr">
        <is>
          <t>EMD-4866</t>
        </is>
      </c>
      <c r="B467" t="inlineStr">
        <is>
          <t>amyloid</t>
        </is>
      </c>
      <c r="C467" t="n">
        <v>7.01</v>
      </c>
      <c r="D467" t="n">
        <v>2.45</v>
      </c>
      <c r="E467" t="n">
        <v>0.294</v>
      </c>
      <c r="F467" t="inlineStr">
        <is>
          <t>C1</t>
        </is>
      </c>
      <c r="G467" t="inlineStr">
        <is>
          <t>2.4353</t>
        </is>
      </c>
      <c r="H467" t="n">
        <v>0.29576</v>
      </c>
      <c r="I467" t="inlineStr">
        <is>
          <t>C1</t>
        </is>
      </c>
      <c r="J467" t="n">
        <v>0.014712724</v>
      </c>
      <c r="K467" t="inlineStr">
        <is>
          <t> </t>
        </is>
      </c>
      <c r="L467" t="n">
        <v>0.74234</v>
      </c>
      <c r="M467" t="n">
        <v>0.74241</v>
      </c>
      <c r="N467" t="inlineStr">
        <is>
          <t>No</t>
        </is>
      </c>
      <c r="O467" t="inlineStr">
        <is>
          <t>improve</t>
        </is>
      </c>
      <c r="P467" t="inlineStr">
        <is>
          <t>adjusted decimals</t>
        </is>
      </c>
      <c r="Q467" t="inlineStr"/>
      <c r="R467" t="inlineStr"/>
      <c r="S467">
        <f>HYPERLINK("https://helical-indexing-hi3d.streamlit.app/?emd_id=emd-4866&amp;rise=2.4353&amp;twist=0.29576&amp;csym=1&amp;rise2=2.45&amp;twist2=0.294&amp;csym2=1", "Link")</f>
        <v/>
      </c>
    </row>
    <row r="468">
      <c r="A468" t="inlineStr">
        <is>
          <t>EMD-6328</t>
        </is>
      </c>
      <c r="B468" t="inlineStr">
        <is>
          <t>amyloid</t>
        </is>
      </c>
      <c r="C468" t="n">
        <v>7.1</v>
      </c>
      <c r="D468" t="n">
        <v>4.8</v>
      </c>
      <c r="E468" t="n">
        <v>0.734</v>
      </c>
      <c r="F468" t="inlineStr">
        <is>
          <t>C2</t>
        </is>
      </c>
      <c r="G468" t="inlineStr">
        <is>
          <t>4.8</t>
        </is>
      </c>
      <c r="H468" t="n">
        <v>-0.734</v>
      </c>
      <c r="I468" t="inlineStr">
        <is>
          <t>C2</t>
        </is>
      </c>
      <c r="J468" t="n">
        <v>0.4704198180731795</v>
      </c>
      <c r="K468" t="inlineStr">
        <is>
          <t> </t>
        </is>
      </c>
      <c r="L468" t="n">
        <v>0.57348</v>
      </c>
      <c r="M468" t="n">
        <v>0.95084</v>
      </c>
      <c r="N468" t="inlineStr">
        <is>
          <t>Yes</t>
        </is>
      </c>
      <c r="O468" t="inlineStr">
        <is>
          <t>improve</t>
        </is>
      </c>
      <c r="P468" t="inlineStr">
        <is>
          <t>twist sign</t>
        </is>
      </c>
      <c r="Q468" t="inlineStr"/>
      <c r="R468" t="inlineStr"/>
      <c r="S468">
        <f>HYPERLINK("https://helical-indexing-hi3d.streamlit.app/?emd_id=emd-6328&amp;rise=4.8&amp;twist=-0.734&amp;csym=2&amp;rise2=4.8&amp;twist2=0.734&amp;csym2=2", "Link")</f>
        <v/>
      </c>
    </row>
    <row r="469">
      <c r="A469" t="inlineStr">
        <is>
          <t>EMD-6326</t>
        </is>
      </c>
      <c r="B469" t="inlineStr">
        <is>
          <t>amyloid</t>
        </is>
      </c>
      <c r="C469" t="n">
        <v>7.5</v>
      </c>
      <c r="D469" t="n">
        <v>4.8</v>
      </c>
      <c r="E469" t="n">
        <v>0.734</v>
      </c>
      <c r="F469" t="inlineStr">
        <is>
          <t>C2</t>
        </is>
      </c>
      <c r="G469" t="inlineStr">
        <is>
          <t>4.8</t>
        </is>
      </c>
      <c r="H469" t="n">
        <v>-0.734</v>
      </c>
      <c r="I469" t="inlineStr">
        <is>
          <t>C2</t>
        </is>
      </c>
      <c r="J469" t="n">
        <v>0.4648162395024391</v>
      </c>
      <c r="K469" t="inlineStr">
        <is>
          <t> </t>
        </is>
      </c>
      <c r="L469" t="n">
        <v>0.5761500000000001</v>
      </c>
      <c r="M469" t="n">
        <v>0.96638</v>
      </c>
      <c r="N469" t="inlineStr">
        <is>
          <t>Yes</t>
        </is>
      </c>
      <c r="O469" t="inlineStr">
        <is>
          <t>improve</t>
        </is>
      </c>
      <c r="P469" t="inlineStr">
        <is>
          <t>twist sign</t>
        </is>
      </c>
      <c r="Q469" t="inlineStr"/>
      <c r="R469" t="inlineStr"/>
      <c r="S469">
        <f>HYPERLINK("https://helical-indexing-hi3d.streamlit.app/?emd_id=emd-6326&amp;rise=4.8&amp;twist=-0.734&amp;csym=2&amp;rise2=4.8&amp;twist2=0.734&amp;csym2=2", "Link")</f>
        <v/>
      </c>
    </row>
    <row r="470">
      <c r="A470" t="inlineStr">
        <is>
          <t>EMD-29038</t>
        </is>
      </c>
      <c r="B470" t="inlineStr">
        <is>
          <t>amyloid</t>
        </is>
      </c>
      <c r="C470" t="n">
        <v>7.77</v>
      </c>
      <c r="D470" t="n">
        <v>2.41</v>
      </c>
      <c r="E470" t="n">
        <v>178.33</v>
      </c>
      <c r="F470" t="inlineStr">
        <is>
          <t>C1</t>
        </is>
      </c>
      <c r="G470" t="inlineStr">
        <is>
          <t>2.41</t>
        </is>
      </c>
      <c r="H470" t="n">
        <v>181.54</v>
      </c>
      <c r="I470" t="inlineStr">
        <is>
          <t>C1</t>
        </is>
      </c>
      <c r="J470" t="n">
        <v>0.7598180493910196</v>
      </c>
      <c r="K470" t="inlineStr">
        <is>
          <t> </t>
        </is>
      </c>
      <c r="L470" t="n">
        <v>0.48461</v>
      </c>
      <c r="M470" t="n">
        <v>0.76035</v>
      </c>
      <c r="N470" t="inlineStr">
        <is>
          <t>Yes</t>
        </is>
      </c>
      <c r="O470" t="inlineStr">
        <is>
          <t>improve</t>
        </is>
      </c>
      <c r="P470" t="inlineStr">
        <is>
          <t>adjusted decimals</t>
        </is>
      </c>
      <c r="Q470" t="inlineStr">
        <is>
          <t>check</t>
        </is>
      </c>
      <c r="R470" t="inlineStr"/>
      <c r="S470">
        <f>HYPERLINK("https://helical-indexing-hi3d.streamlit.app/?emd_id=emd-29038&amp;rise=2.41&amp;twist=181.54&amp;csym=1&amp;rise2=2.41&amp;twist2=178.33&amp;csym2=1", "Link")</f>
        <v/>
      </c>
    </row>
    <row r="471">
      <c r="A471" t="inlineStr">
        <is>
          <t>EMD-0078</t>
        </is>
      </c>
      <c r="B471" t="inlineStr">
        <is>
          <t>amyloid</t>
        </is>
      </c>
      <c r="C471" t="n">
        <v>8</v>
      </c>
      <c r="D471" t="n">
        <v>4.7</v>
      </c>
      <c r="E471" t="n">
        <v>-0.6</v>
      </c>
      <c r="F471" t="inlineStr">
        <is>
          <t>C2</t>
        </is>
      </c>
      <c r="G471" t="inlineStr">
        <is>
          <t>4.7</t>
        </is>
      </c>
      <c r="H471" t="n">
        <v>-0.6</v>
      </c>
      <c r="I471" t="inlineStr">
        <is>
          <t>C2</t>
        </is>
      </c>
      <c r="J471" t="n">
        <v>0</v>
      </c>
      <c r="K471" t="inlineStr">
        <is>
          <t> </t>
        </is>
      </c>
      <c r="L471" t="n">
        <v>0.9142400000000001</v>
      </c>
      <c r="M471" t="n">
        <v>0.9142400000000001</v>
      </c>
      <c r="N471" t="inlineStr">
        <is>
          <t>Yes</t>
        </is>
      </c>
      <c r="O471" t="inlineStr">
        <is>
          <t>equal</t>
        </is>
      </c>
      <c r="P471" t="inlineStr">
        <is>
          <t>deposited</t>
        </is>
      </c>
      <c r="Q471" t="inlineStr"/>
      <c r="R471" t="inlineStr"/>
      <c r="S471">
        <f>HYPERLINK("https://helical-indexing-hi3d.streamlit.app/?emd_id=emd-0078&amp;rise=4.7&amp;twist=-0.6&amp;csym=2&amp;rise2=4.7&amp;twist2=-0.6&amp;csym2=2", "Link")</f>
        <v/>
      </c>
    </row>
    <row r="472">
      <c r="A472" t="inlineStr">
        <is>
          <t>EMD-10671</t>
        </is>
      </c>
      <c r="B472" t="inlineStr">
        <is>
          <t>amyloid</t>
        </is>
      </c>
      <c r="C472" t="n">
        <v>8.1</v>
      </c>
      <c r="D472" t="n">
        <v>2.323</v>
      </c>
      <c r="E472" t="n">
        <v>179.47</v>
      </c>
      <c r="F472" t="inlineStr">
        <is>
          <t>C1</t>
        </is>
      </c>
      <c r="G472" t="inlineStr">
        <is>
          <t>2.323</t>
        </is>
      </c>
      <c r="H472" t="n">
        <v>179.47</v>
      </c>
      <c r="I472" t="inlineStr">
        <is>
          <t>C1</t>
        </is>
      </c>
      <c r="J472" t="n">
        <v>0</v>
      </c>
      <c r="K472" t="inlineStr">
        <is>
          <t> </t>
        </is>
      </c>
      <c r="L472" t="n">
        <v>0.9597</v>
      </c>
      <c r="M472" t="n">
        <v>0.9597</v>
      </c>
      <c r="N472" t="inlineStr">
        <is>
          <t>Yes</t>
        </is>
      </c>
      <c r="O472" t="inlineStr">
        <is>
          <t>equal</t>
        </is>
      </c>
      <c r="P472" t="inlineStr">
        <is>
          <t>deposited</t>
        </is>
      </c>
      <c r="Q472" t="inlineStr"/>
      <c r="R472" t="inlineStr"/>
      <c r="S472">
        <f>HYPERLINK("https://helical-indexing-hi3d.streamlit.app/?emd_id=emd-10671&amp;rise=2.323&amp;twist=179.47&amp;csym=1&amp;rise2=2.323&amp;twist2=179.47&amp;csym2=1", "Link")</f>
        <v/>
      </c>
    </row>
    <row r="473">
      <c r="A473" t="inlineStr">
        <is>
          <t>EMD-3128</t>
        </is>
      </c>
      <c r="B473" t="inlineStr">
        <is>
          <t>amyloid</t>
        </is>
      </c>
      <c r="C473" t="n">
        <v>8.300000000000001</v>
      </c>
      <c r="D473" t="n">
        <v>4.69</v>
      </c>
      <c r="E473" t="n">
        <v>1.464</v>
      </c>
      <c r="F473" t="inlineStr">
        <is>
          <t>C2</t>
        </is>
      </c>
      <c r="G473" t="inlineStr">
        <is>
          <t>4.69</t>
        </is>
      </c>
      <c r="H473" t="n">
        <v>1.464</v>
      </c>
      <c r="I473" t="inlineStr">
        <is>
          <t>C2</t>
        </is>
      </c>
      <c r="J473" t="n">
        <v>0</v>
      </c>
      <c r="K473" t="inlineStr">
        <is>
          <t> </t>
        </is>
      </c>
      <c r="L473" t="n">
        <v>0.8097800000000001</v>
      </c>
      <c r="M473" t="n">
        <v>0.8097800000000001</v>
      </c>
      <c r="N473" t="inlineStr">
        <is>
          <t>Yes</t>
        </is>
      </c>
      <c r="O473" t="inlineStr">
        <is>
          <t>equal</t>
        </is>
      </c>
      <c r="P473" t="inlineStr">
        <is>
          <t>deposited</t>
        </is>
      </c>
      <c r="Q473" t="inlineStr"/>
      <c r="R473" t="inlineStr"/>
      <c r="S473">
        <f>HYPERLINK("https://helical-indexing-hi3d.streamlit.app/?emd_id=emd-3128&amp;rise=4.69&amp;twist=1.464&amp;csym=2&amp;rise2=4.69&amp;twist2=1.464&amp;csym2=2", "Link")</f>
        <v/>
      </c>
    </row>
    <row r="474">
      <c r="A474" t="inlineStr">
        <is>
          <t>EMD-6327</t>
        </is>
      </c>
      <c r="B474" t="inlineStr">
        <is>
          <t>amyloid</t>
        </is>
      </c>
      <c r="C474" t="n">
        <v>8.300000000000001</v>
      </c>
      <c r="D474" t="n">
        <v>4.8</v>
      </c>
      <c r="E474" t="n">
        <v>0.734</v>
      </c>
      <c r="F474" t="inlineStr">
        <is>
          <t>C2</t>
        </is>
      </c>
      <c r="G474" t="inlineStr">
        <is>
          <t>4.8</t>
        </is>
      </c>
      <c r="H474" t="n">
        <v>-0.734</v>
      </c>
      <c r="I474" t="inlineStr">
        <is>
          <t>C2</t>
        </is>
      </c>
      <c r="J474" t="n">
        <v>0.4649347149616223</v>
      </c>
      <c r="K474" t="inlineStr">
        <is>
          <t> </t>
        </is>
      </c>
      <c r="L474" t="n">
        <v>0.57298</v>
      </c>
      <c r="M474" t="n">
        <v>0.97088</v>
      </c>
      <c r="N474" t="inlineStr">
        <is>
          <t>Yes</t>
        </is>
      </c>
      <c r="O474" t="inlineStr">
        <is>
          <t>improve</t>
        </is>
      </c>
      <c r="P474" t="inlineStr">
        <is>
          <t>twist sign</t>
        </is>
      </c>
      <c r="Q474" t="inlineStr"/>
      <c r="R474" t="inlineStr"/>
      <c r="S474">
        <f>HYPERLINK("https://helical-indexing-hi3d.streamlit.app/?emd_id=emd-6327&amp;rise=4.8&amp;twist=-0.734&amp;csym=2&amp;rise2=4.8&amp;twist2=0.734&amp;csym2=2", "Link")</f>
        <v/>
      </c>
    </row>
    <row r="475">
      <c r="A475" t="inlineStr">
        <is>
          <t>EMD-0019</t>
        </is>
      </c>
      <c r="B475" t="inlineStr">
        <is>
          <t>amyloid</t>
        </is>
      </c>
      <c r="C475" t="n">
        <v>9.42</v>
      </c>
      <c r="D475" t="n">
        <v>2.3</v>
      </c>
      <c r="E475" t="n">
        <v>-0.161</v>
      </c>
      <c r="F475" t="inlineStr">
        <is>
          <t>C1</t>
        </is>
      </c>
      <c r="G475" t="inlineStr">
        <is>
          <t>2.3</t>
        </is>
      </c>
      <c r="H475" t="n">
        <v>0.161</v>
      </c>
      <c r="I475" t="inlineStr">
        <is>
          <t>C1</t>
        </is>
      </c>
      <c r="J475" t="n">
        <v>0.2045125792417356</v>
      </c>
      <c r="K475" t="inlineStr">
        <is>
          <t> </t>
        </is>
      </c>
      <c r="L475" t="n">
        <v>0.69767</v>
      </c>
      <c r="M475" t="n">
        <v>0.9694</v>
      </c>
      <c r="N475" t="inlineStr">
        <is>
          <t>Yes</t>
        </is>
      </c>
      <c r="O475" t="inlineStr">
        <is>
          <t>improve</t>
        </is>
      </c>
      <c r="P475" t="inlineStr">
        <is>
          <t>twist sign</t>
        </is>
      </c>
      <c r="Q475" t="inlineStr"/>
      <c r="R475" t="inlineStr"/>
      <c r="S475">
        <f>HYPERLINK("https://helical-indexing-hi3d.streamlit.app/?emd_id=emd-0019&amp;rise=2.3&amp;twist=0.161&amp;csym=1&amp;rise2=2.3&amp;twist2=-0.161&amp;csym2=1", "Link")</f>
        <v/>
      </c>
    </row>
    <row r="476">
      <c r="A476" t="inlineStr">
        <is>
          <t>EMD-5132</t>
        </is>
      </c>
      <c r="B476" t="inlineStr">
        <is>
          <t>amyloid</t>
        </is>
      </c>
      <c r="C476" t="n">
        <v>10.1</v>
      </c>
      <c r="D476" t="n">
        <v>4.8</v>
      </c>
      <c r="E476" t="inlineStr"/>
      <c r="F476" t="inlineStr">
        <is>
          <t>C2</t>
        </is>
      </c>
      <c r="G476" t="inlineStr"/>
      <c r="H476" t="inlineStr"/>
      <c r="I476" t="inlineStr">
        <is>
          <t>C2</t>
        </is>
      </c>
      <c r="J476" t="inlineStr"/>
      <c r="K476" t="inlineStr">
        <is>
          <t> </t>
        </is>
      </c>
      <c r="L476" t="inlineStr"/>
      <c r="M476" t="inlineStr"/>
      <c r="N476" t="inlineStr">
        <is>
          <t>Excluded</t>
        </is>
      </c>
      <c r="O476" t="inlineStr"/>
      <c r="P476" t="inlineStr"/>
      <c r="Q476" t="inlineStr"/>
      <c r="R476" t="inlineStr"/>
      <c r="S476">
        <f>HYPERLINK("https://helical-indexing-hi3d.streamlit.app/?emd_id=emd-5132&amp;rise=nan&amp;twist=nan&amp;csym=2&amp;rise2=4.8&amp;twist2=nan&amp;csym2=2", "Link")</f>
        <v/>
      </c>
    </row>
    <row r="477">
      <c r="A477" t="inlineStr">
        <is>
          <t>EMD-3993</t>
        </is>
      </c>
      <c r="B477" t="inlineStr">
        <is>
          <t>amyloid</t>
        </is>
      </c>
      <c r="C477" t="n">
        <v>20.3</v>
      </c>
      <c r="D477" t="n">
        <v>4.69</v>
      </c>
      <c r="E477" t="n">
        <v>0.7</v>
      </c>
      <c r="F477" t="inlineStr">
        <is>
          <t>C2</t>
        </is>
      </c>
      <c r="G477" t="inlineStr">
        <is>
          <t>4.5493</t>
        </is>
      </c>
      <c r="H477" t="n">
        <v>0.7168</v>
      </c>
      <c r="I477" t="inlineStr">
        <is>
          <t>C2</t>
        </is>
      </c>
      <c r="J477" t="n">
        <v>0.1407611750820223</v>
      </c>
      <c r="K477" t="inlineStr">
        <is>
          <t> </t>
        </is>
      </c>
      <c r="L477" t="n">
        <v>0.40867</v>
      </c>
      <c r="M477" t="n">
        <v>0.41195</v>
      </c>
      <c r="N477" t="inlineStr">
        <is>
          <t>No</t>
        </is>
      </c>
      <c r="O477" t="inlineStr">
        <is>
          <t>improve</t>
        </is>
      </c>
      <c r="P477" t="inlineStr">
        <is>
          <t>adjusted decimals</t>
        </is>
      </c>
      <c r="Q477" t="inlineStr"/>
      <c r="R477" t="inlineStr"/>
      <c r="S477">
        <f>HYPERLINK("https://helical-indexing-hi3d.streamlit.app/?emd_id=emd-3993&amp;rise=4.5493&amp;twist=0.7168&amp;csym=2&amp;rise2=4.69&amp;twist2=0.7&amp;csym2=2", "Link")</f>
        <v/>
      </c>
    </row>
    <row r="478">
      <c r="A478" t="inlineStr">
        <is>
          <t>EMD-26283</t>
        </is>
      </c>
      <c r="B478" t="inlineStr">
        <is>
          <t>amyloid</t>
        </is>
      </c>
      <c r="C478" t="n">
        <v>23</v>
      </c>
      <c r="D478" t="n">
        <v>4.78</v>
      </c>
      <c r="E478" t="n">
        <v>-0.86</v>
      </c>
      <c r="F478" t="inlineStr">
        <is>
          <t>C1</t>
        </is>
      </c>
      <c r="G478" t="inlineStr">
        <is>
          <t>4.78</t>
        </is>
      </c>
      <c r="H478" t="n">
        <v>-0.86</v>
      </c>
      <c r="I478" t="inlineStr">
        <is>
          <t>C1</t>
        </is>
      </c>
      <c r="J478" t="n">
        <v>0</v>
      </c>
      <c r="K478" t="inlineStr">
        <is>
          <t> </t>
        </is>
      </c>
      <c r="L478" t="n">
        <v>0.95944</v>
      </c>
      <c r="M478" t="n">
        <v>0.95944</v>
      </c>
      <c r="N478" t="inlineStr">
        <is>
          <t>Yes</t>
        </is>
      </c>
      <c r="O478" t="inlineStr">
        <is>
          <t>equal</t>
        </is>
      </c>
      <c r="P478" t="inlineStr">
        <is>
          <t>deposited</t>
        </is>
      </c>
      <c r="Q478" t="inlineStr"/>
      <c r="R478" t="inlineStr"/>
      <c r="S478">
        <f>HYPERLINK("https://helical-indexing-hi3d.streamlit.app/?emd_id=emd-26283&amp;rise=4.78&amp;twist=-0.86&amp;csym=1&amp;rise2=4.78&amp;twist2=-0.86&amp;csym2=1", "Link")</f>
        <v/>
      </c>
    </row>
    <row r="479">
      <c r="A479" t="inlineStr">
        <is>
          <t>EMD-6482</t>
        </is>
      </c>
      <c r="B479" t="inlineStr">
        <is>
          <t>amyloid</t>
        </is>
      </c>
      <c r="C479" t="n">
        <v>40</v>
      </c>
      <c r="D479" t="n">
        <v>4.7</v>
      </c>
      <c r="E479" t="n">
        <v>1.1</v>
      </c>
      <c r="F479" t="inlineStr">
        <is>
          <t>C1</t>
        </is>
      </c>
      <c r="G479" t="inlineStr">
        <is>
          <t>4.7</t>
        </is>
      </c>
      <c r="H479" t="n">
        <v>1.1</v>
      </c>
      <c r="I479" t="inlineStr">
        <is>
          <t>C1</t>
        </is>
      </c>
      <c r="J479" t="n">
        <v>0</v>
      </c>
      <c r="K479" t="inlineStr">
        <is>
          <t> </t>
        </is>
      </c>
      <c r="L479" t="n">
        <v>0.99999</v>
      </c>
      <c r="M479" t="n">
        <v>0.99999</v>
      </c>
      <c r="N479" t="inlineStr">
        <is>
          <t>Yes</t>
        </is>
      </c>
      <c r="O479" t="inlineStr">
        <is>
          <t>equal</t>
        </is>
      </c>
      <c r="P479" t="inlineStr">
        <is>
          <t>deposited</t>
        </is>
      </c>
      <c r="Q479" t="inlineStr"/>
      <c r="R479" t="inlineStr"/>
      <c r="S479">
        <f>HYPERLINK("https://helical-indexing-hi3d.streamlit.app/?emd_id=emd-6482&amp;rise=4.7&amp;twist=1.1&amp;csym=1&amp;rise2=4.7&amp;twist2=1.1&amp;csym2=1", "Link")</f>
        <v/>
      </c>
    </row>
    <row r="480">
      <c r="A480" t="inlineStr">
        <is>
          <t>EMD-30648</t>
        </is>
      </c>
      <c r="B480" t="inlineStr">
        <is>
          <t>amyloid</t>
        </is>
      </c>
      <c r="C480" t="n">
        <v>4.5</v>
      </c>
      <c r="D480" t="n">
        <v>2.42</v>
      </c>
      <c r="E480" t="n">
        <v>-179.55</v>
      </c>
      <c r="F480" t="inlineStr">
        <is>
          <t>C1</t>
        </is>
      </c>
      <c r="G480" t="inlineStr">
        <is>
          <t>2.44904</t>
        </is>
      </c>
      <c r="H480" t="n">
        <v>-180.63</v>
      </c>
      <c r="I480" t="inlineStr">
        <is>
          <t>C1</t>
        </is>
      </c>
      <c r="J480" t="n">
        <v>0.2881942841688998</v>
      </c>
      <c r="K480" t="inlineStr"/>
      <c r="L480" t="n">
        <v>0.67318</v>
      </c>
      <c r="M480" t="n">
        <v>0.9268</v>
      </c>
      <c r="N480" t="inlineStr">
        <is>
          <t>Yes</t>
        </is>
      </c>
      <c r="O480" t="inlineStr">
        <is>
          <t>improve</t>
        </is>
      </c>
      <c r="P480" t="inlineStr">
        <is>
          <t>adjusted decimals</t>
        </is>
      </c>
      <c r="Q480" t="inlineStr"/>
      <c r="R480" t="inlineStr"/>
      <c r="S480">
        <f>HYPERLINK("https://helical-indexing-hi3d.streamlit.app/?emd_id=emd-30648&amp;rise=2.44904&amp;twist=-180.63&amp;csym=1&amp;rise2=2.42&amp;twist2=-179.55&amp;csym2=1", "Link")</f>
        <v/>
      </c>
    </row>
    <row r="481">
      <c r="A481" t="inlineStr">
        <is>
          <t>EMD-60527</t>
        </is>
      </c>
      <c r="B481" t="inlineStr">
        <is>
          <t>amyloid</t>
        </is>
      </c>
      <c r="C481" t="n">
        <v>2.5</v>
      </c>
      <c r="D481" t="n">
        <v>2.39</v>
      </c>
      <c r="E481" t="n">
        <v>-179.23</v>
      </c>
      <c r="F481" t="inlineStr">
        <is>
          <t>C1</t>
        </is>
      </c>
      <c r="G481" t="inlineStr">
        <is>
          <t>2.39</t>
        </is>
      </c>
      <c r="H481" t="n">
        <v>-179.23</v>
      </c>
      <c r="I481" t="inlineStr">
        <is>
          <t>C1</t>
        </is>
      </c>
      <c r="J481" t="n">
        <v>0</v>
      </c>
      <c r="K481" t="inlineStr"/>
      <c r="L481" t="n">
        <v>0.9696</v>
      </c>
      <c r="M481" t="n">
        <v>0.9696</v>
      </c>
      <c r="N481" t="inlineStr">
        <is>
          <t>Yes</t>
        </is>
      </c>
      <c r="O481" t="inlineStr">
        <is>
          <t>equal</t>
        </is>
      </c>
      <c r="P481" t="inlineStr">
        <is>
          <t>deposited</t>
        </is>
      </c>
      <c r="Q481" t="inlineStr"/>
      <c r="R481" t="inlineStr"/>
      <c r="S481">
        <f>HYPERLINK("https://helical-indexing-hi3d.streamlit.app/?emd_id=emd-60527&amp;rise=2.39&amp;twist=-179.23&amp;csym=1&amp;rise2=2.39&amp;twist2=-179.23&amp;csym2=1", "Link")</f>
        <v/>
      </c>
    </row>
    <row r="482">
      <c r="A482" t="inlineStr">
        <is>
          <t>EMD-60532</t>
        </is>
      </c>
      <c r="B482" t="inlineStr">
        <is>
          <t>amyloid</t>
        </is>
      </c>
      <c r="C482" t="n">
        <v>3.4</v>
      </c>
      <c r="D482" t="n">
        <v>2.4</v>
      </c>
      <c r="E482" t="n">
        <v>179.57</v>
      </c>
      <c r="F482" t="inlineStr">
        <is>
          <t>C1</t>
        </is>
      </c>
      <c r="G482" t="inlineStr">
        <is>
          <t>2.4</t>
        </is>
      </c>
      <c r="H482" t="n">
        <v>179.57</v>
      </c>
      <c r="I482" t="inlineStr">
        <is>
          <t>C1</t>
        </is>
      </c>
      <c r="J482" t="n">
        <v>0</v>
      </c>
      <c r="K482" t="inlineStr"/>
      <c r="L482" t="n">
        <v>0.94702</v>
      </c>
      <c r="M482" t="n">
        <v>0.94702</v>
      </c>
      <c r="N482" t="inlineStr">
        <is>
          <t>Yes</t>
        </is>
      </c>
      <c r="O482" t="inlineStr">
        <is>
          <t>equal</t>
        </is>
      </c>
      <c r="P482" t="inlineStr">
        <is>
          <t>deposited</t>
        </is>
      </c>
      <c r="Q482" t="inlineStr"/>
      <c r="R482" t="inlineStr"/>
      <c r="S482">
        <f>HYPERLINK("https://helical-indexing-hi3d.streamlit.app/?emd_id=emd-60532&amp;rise=2.4&amp;twist=179.57&amp;csym=1&amp;rise2=2.4&amp;twist2=179.57&amp;csym2=1", "Link")</f>
        <v/>
      </c>
    </row>
    <row r="483">
      <c r="A483" t="inlineStr">
        <is>
          <t>EMD-60529</t>
        </is>
      </c>
      <c r="B483" t="inlineStr">
        <is>
          <t>amyloid</t>
        </is>
      </c>
      <c r="C483" t="n">
        <v>3.1</v>
      </c>
      <c r="D483" t="n">
        <v>2.41</v>
      </c>
      <c r="E483" t="n">
        <v>179.62</v>
      </c>
      <c r="F483" t="inlineStr">
        <is>
          <t>C1</t>
        </is>
      </c>
      <c r="G483" t="inlineStr">
        <is>
          <t>2.41</t>
        </is>
      </c>
      <c r="H483" t="n">
        <v>179.62</v>
      </c>
      <c r="I483" t="inlineStr">
        <is>
          <t>C1</t>
        </is>
      </c>
      <c r="J483" t="n">
        <v>0</v>
      </c>
      <c r="K483" t="inlineStr"/>
      <c r="L483" t="n">
        <v>0.95829</v>
      </c>
      <c r="M483" t="n">
        <v>0.95829</v>
      </c>
      <c r="N483" t="inlineStr">
        <is>
          <t>Yes</t>
        </is>
      </c>
      <c r="O483" t="inlineStr">
        <is>
          <t>equal</t>
        </is>
      </c>
      <c r="P483" t="inlineStr">
        <is>
          <t>deposited</t>
        </is>
      </c>
      <c r="Q483" t="inlineStr"/>
      <c r="R483" t="inlineStr"/>
      <c r="S483">
        <f>HYPERLINK("https://helical-indexing-hi3d.streamlit.app/?emd_id=emd-60529&amp;rise=2.41&amp;twist=179.62&amp;csym=1&amp;rise2=2.41&amp;twist2=179.62&amp;csym2=1", "Link")</f>
        <v/>
      </c>
    </row>
    <row r="484">
      <c r="A484" t="inlineStr">
        <is>
          <t>EMD-60533</t>
        </is>
      </c>
      <c r="B484" t="inlineStr">
        <is>
          <t>amyloid</t>
        </is>
      </c>
      <c r="C484" t="n">
        <v>3.2</v>
      </c>
      <c r="D484" t="n">
        <v>4.77</v>
      </c>
      <c r="E484" t="n">
        <v>-1.08</v>
      </c>
      <c r="F484" t="inlineStr">
        <is>
          <t>C1</t>
        </is>
      </c>
      <c r="G484" t="inlineStr">
        <is>
          <t>4.77</t>
        </is>
      </c>
      <c r="H484" t="n">
        <v>-1.08</v>
      </c>
      <c r="I484" t="inlineStr">
        <is>
          <t>C1</t>
        </is>
      </c>
      <c r="J484" t="n">
        <v>0</v>
      </c>
      <c r="K484" t="inlineStr"/>
      <c r="L484" t="n">
        <v>0.95165</v>
      </c>
      <c r="M484" t="n">
        <v>0.95165</v>
      </c>
      <c r="N484" t="inlineStr">
        <is>
          <t>Yes</t>
        </is>
      </c>
      <c r="O484" t="inlineStr">
        <is>
          <t>equal</t>
        </is>
      </c>
      <c r="P484" t="inlineStr">
        <is>
          <t>deposited</t>
        </is>
      </c>
      <c r="Q484" t="inlineStr"/>
      <c r="R484" t="inlineStr"/>
      <c r="S484">
        <f>HYPERLINK("https://helical-indexing-hi3d.streamlit.app/?emd_id=emd-60533&amp;rise=4.77&amp;twist=-1.08&amp;csym=1&amp;rise2=4.77&amp;twist2=-1.08&amp;csym2=1", "Link")</f>
        <v/>
      </c>
    </row>
    <row r="485">
      <c r="A485" t="inlineStr">
        <is>
          <t>EMD-60539</t>
        </is>
      </c>
      <c r="B485" t="inlineStr">
        <is>
          <t>amyloid</t>
        </is>
      </c>
      <c r="C485" t="n">
        <v>3.5</v>
      </c>
      <c r="D485" t="n">
        <v>2.4</v>
      </c>
      <c r="E485" t="n">
        <v>179.5</v>
      </c>
      <c r="F485" t="inlineStr">
        <is>
          <t>C1</t>
        </is>
      </c>
      <c r="G485" t="inlineStr">
        <is>
          <t>2.4</t>
        </is>
      </c>
      <c r="H485" t="n">
        <v>179.5</v>
      </c>
      <c r="I485" t="inlineStr">
        <is>
          <t>C1</t>
        </is>
      </c>
      <c r="J485" t="n">
        <v>0</v>
      </c>
      <c r="K485" t="inlineStr"/>
      <c r="L485" t="n">
        <v>0.94163</v>
      </c>
      <c r="M485" t="n">
        <v>0.94163</v>
      </c>
      <c r="N485" t="inlineStr">
        <is>
          <t>Yes</t>
        </is>
      </c>
      <c r="O485" t="inlineStr">
        <is>
          <t>equal</t>
        </is>
      </c>
      <c r="P485" t="inlineStr">
        <is>
          <t>deposited</t>
        </is>
      </c>
      <c r="Q485" t="inlineStr"/>
      <c r="R485" t="inlineStr"/>
      <c r="S485">
        <f>HYPERLINK("https://helical-indexing-hi3d.streamlit.app/?emd_id=emd-60539&amp;rise=2.4&amp;twist=179.5&amp;csym=1&amp;rise2=2.4&amp;twist2=179.5&amp;csym2=1", "Link")</f>
        <v/>
      </c>
    </row>
    <row r="486">
      <c r="A486" t="inlineStr">
        <is>
          <t>EMD-60530</t>
        </is>
      </c>
      <c r="B486" t="inlineStr">
        <is>
          <t>amyloid</t>
        </is>
      </c>
      <c r="C486" t="n">
        <v>3.4</v>
      </c>
      <c r="D486" t="n">
        <v>2.4</v>
      </c>
      <c r="E486" t="n">
        <v>179.42</v>
      </c>
      <c r="F486" t="inlineStr">
        <is>
          <t>C1</t>
        </is>
      </c>
      <c r="G486" t="inlineStr">
        <is>
          <t>2.403933111</t>
        </is>
      </c>
      <c r="H486" t="n">
        <v>179.4233544</v>
      </c>
      <c r="I486" t="inlineStr">
        <is>
          <t>C1</t>
        </is>
      </c>
      <c r="J486" t="n">
        <v>0.004205626</v>
      </c>
      <c r="K486" t="inlineStr"/>
      <c r="L486" t="n">
        <v>0.9315</v>
      </c>
      <c r="M486" t="n">
        <v>0.94012</v>
      </c>
      <c r="N486" t="inlineStr">
        <is>
          <t>Yes</t>
        </is>
      </c>
      <c r="O486" t="inlineStr">
        <is>
          <t>improve</t>
        </is>
      </c>
      <c r="P486" t="inlineStr">
        <is>
          <t>adjusted decimals</t>
        </is>
      </c>
      <c r="Q486" t="inlineStr"/>
      <c r="R486" t="inlineStr"/>
      <c r="S486">
        <f>HYPERLINK("https://helical-indexing-hi3d.streamlit.app/?emd_id=emd-60530&amp;rise=2.403933111&amp;twist=179.4233544&amp;csym=1&amp;rise2=2.4&amp;twist2=179.42&amp;csym2=1", "Link")</f>
        <v/>
      </c>
    </row>
    <row r="487">
      <c r="A487" t="inlineStr">
        <is>
          <t>EMD-60531</t>
        </is>
      </c>
      <c r="B487" t="inlineStr">
        <is>
          <t>amyloid</t>
        </is>
      </c>
      <c r="C487" t="n">
        <v>3.7</v>
      </c>
      <c r="D487" t="n">
        <v>4.8</v>
      </c>
      <c r="E487" t="n">
        <v>-0.83</v>
      </c>
      <c r="F487" t="inlineStr">
        <is>
          <t>C1</t>
        </is>
      </c>
      <c r="G487" t="inlineStr">
        <is>
          <t>4.8</t>
        </is>
      </c>
      <c r="H487" t="n">
        <v>-0.83</v>
      </c>
      <c r="I487" t="inlineStr">
        <is>
          <t>C1</t>
        </is>
      </c>
      <c r="J487" t="n">
        <v>0</v>
      </c>
      <c r="K487" t="inlineStr"/>
      <c r="L487" t="n">
        <v>0.94434</v>
      </c>
      <c r="M487" t="n">
        <v>0.94434</v>
      </c>
      <c r="N487" t="inlineStr">
        <is>
          <t>Yes</t>
        </is>
      </c>
      <c r="O487" t="inlineStr">
        <is>
          <t>equal</t>
        </is>
      </c>
      <c r="P487" t="inlineStr">
        <is>
          <t>deposited</t>
        </is>
      </c>
      <c r="Q487" t="inlineStr"/>
      <c r="R487" t="inlineStr"/>
      <c r="S487">
        <f>HYPERLINK("https://helical-indexing-hi3d.streamlit.app/?emd_id=emd-60531&amp;rise=4.8&amp;twist=-0.83&amp;csym=1&amp;rise2=4.8&amp;twist2=-0.83&amp;csym2=1", "Link")</f>
        <v/>
      </c>
    </row>
    <row r="488">
      <c r="A488" t="inlineStr">
        <is>
          <t>EMD-60528</t>
        </is>
      </c>
      <c r="B488" t="inlineStr">
        <is>
          <t>amyloid</t>
        </is>
      </c>
      <c r="C488" t="n">
        <v>3</v>
      </c>
      <c r="D488" t="n">
        <v>2.41</v>
      </c>
      <c r="E488" t="n">
        <v>179.65</v>
      </c>
      <c r="F488" t="inlineStr">
        <is>
          <t>C1</t>
        </is>
      </c>
      <c r="G488" t="inlineStr">
        <is>
          <t>2.41</t>
        </is>
      </c>
      <c r="H488" t="n">
        <v>179.65</v>
      </c>
      <c r="I488" t="inlineStr">
        <is>
          <t>C1</t>
        </is>
      </c>
      <c r="J488" t="n">
        <v>0</v>
      </c>
      <c r="K488" t="inlineStr"/>
      <c r="L488" t="n">
        <v>0.89868</v>
      </c>
      <c r="M488" t="n">
        <v>0.89868</v>
      </c>
      <c r="N488" t="inlineStr">
        <is>
          <t>Yes</t>
        </is>
      </c>
      <c r="O488" t="inlineStr">
        <is>
          <t>equal</t>
        </is>
      </c>
      <c r="P488" t="inlineStr">
        <is>
          <t>deposited</t>
        </is>
      </c>
      <c r="Q488" t="inlineStr"/>
      <c r="R488" t="inlineStr"/>
      <c r="S488">
        <f>HYPERLINK("https://helical-indexing-hi3d.streamlit.app/?emd_id=emd-60528&amp;rise=2.41&amp;twist=179.65&amp;csym=1&amp;rise2=2.41&amp;twist2=179.65&amp;csym2=1", "Link")</f>
        <v/>
      </c>
    </row>
    <row r="489">
      <c r="A489" t="inlineStr">
        <is>
          <t>EMD-41611</t>
        </is>
      </c>
      <c r="B489" t="inlineStr">
        <is>
          <t>amyloid</t>
        </is>
      </c>
      <c r="C489" t="n">
        <v>2.4</v>
      </c>
      <c r="D489" t="n">
        <v>4.79</v>
      </c>
      <c r="E489" t="n">
        <v>-1.07</v>
      </c>
      <c r="F489" t="inlineStr">
        <is>
          <t>C1</t>
        </is>
      </c>
      <c r="G489" t="inlineStr">
        <is>
          <t>4.79</t>
        </is>
      </c>
      <c r="H489" t="n">
        <v>-1.07</v>
      </c>
      <c r="I489" t="inlineStr">
        <is>
          <t>C1</t>
        </is>
      </c>
      <c r="J489" t="n">
        <v>0</v>
      </c>
      <c r="K489" t="inlineStr"/>
      <c r="L489" t="n">
        <v>0.86043</v>
      </c>
      <c r="M489" t="n">
        <v>0.86043</v>
      </c>
      <c r="N489" t="inlineStr">
        <is>
          <t>Yes</t>
        </is>
      </c>
      <c r="O489" t="inlineStr">
        <is>
          <t>equal</t>
        </is>
      </c>
      <c r="P489" t="inlineStr">
        <is>
          <t>deposited</t>
        </is>
      </c>
      <c r="Q489" t="inlineStr"/>
      <c r="R489" t="inlineStr"/>
      <c r="S489">
        <f>HYPERLINK("https://helical-indexing-hi3d.streamlit.app/?emd_id=emd-41611&amp;rise=4.79&amp;twist=-1.07&amp;csym=1&amp;rise2=4.79&amp;twist2=-1.07&amp;csym2=1", "Link")</f>
        <v/>
      </c>
    </row>
    <row r="490">
      <c r="A490" t="inlineStr">
        <is>
          <t>EMD-18881</t>
        </is>
      </c>
      <c r="B490" t="inlineStr">
        <is>
          <t>amyloid</t>
        </is>
      </c>
      <c r="C490" t="n">
        <v>2.25</v>
      </c>
      <c r="D490" t="n">
        <v>4.76311</v>
      </c>
      <c r="E490" t="n">
        <v>-1.4634</v>
      </c>
      <c r="F490" t="inlineStr">
        <is>
          <t>C1</t>
        </is>
      </c>
      <c r="G490" t="inlineStr">
        <is>
          <t>4.76311</t>
        </is>
      </c>
      <c r="H490" t="n">
        <v>-1.4634</v>
      </c>
      <c r="I490" t="inlineStr">
        <is>
          <t>C1</t>
        </is>
      </c>
      <c r="J490" t="n">
        <v>0</v>
      </c>
      <c r="K490" t="inlineStr"/>
      <c r="L490" t="n">
        <v>0.82121</v>
      </c>
      <c r="M490" t="n">
        <v>0.82121</v>
      </c>
      <c r="N490" t="inlineStr">
        <is>
          <t>Yes</t>
        </is>
      </c>
      <c r="O490" t="inlineStr">
        <is>
          <t>equal</t>
        </is>
      </c>
      <c r="P490" t="inlineStr">
        <is>
          <t>deposited</t>
        </is>
      </c>
      <c r="Q490" t="inlineStr"/>
      <c r="R490" t="inlineStr"/>
      <c r="S490">
        <f>HYPERLINK("https://helical-indexing-hi3d.streamlit.app/?emd_id=emd-18881&amp;rise=4.76311&amp;twist=-1.4634&amp;csym=1&amp;rise2=4.76311&amp;twist2=-1.4634&amp;csym2=1", "Link")</f>
        <v/>
      </c>
    </row>
    <row r="491">
      <c r="A491" t="inlineStr">
        <is>
          <t>EMD-19818</t>
        </is>
      </c>
      <c r="B491" t="inlineStr">
        <is>
          <t>amyloid</t>
        </is>
      </c>
      <c r="C491" t="n">
        <v>2.92</v>
      </c>
      <c r="D491" t="n">
        <v>4.752</v>
      </c>
      <c r="E491" t="n">
        <v>1.309</v>
      </c>
      <c r="F491" t="inlineStr">
        <is>
          <t>C1</t>
        </is>
      </c>
      <c r="G491" t="inlineStr">
        <is>
          <t>4.752</t>
        </is>
      </c>
      <c r="H491" t="n">
        <v>1.309</v>
      </c>
      <c r="I491" t="inlineStr">
        <is>
          <t>C1</t>
        </is>
      </c>
      <c r="J491" t="n">
        <v>0</v>
      </c>
      <c r="K491" t="inlineStr"/>
      <c r="L491" t="n">
        <v>0.87774</v>
      </c>
      <c r="M491" t="n">
        <v>0.87774</v>
      </c>
      <c r="N491" t="inlineStr">
        <is>
          <t>Yes</t>
        </is>
      </c>
      <c r="O491" t="inlineStr">
        <is>
          <t>equal</t>
        </is>
      </c>
      <c r="P491" t="inlineStr">
        <is>
          <t>deposited</t>
        </is>
      </c>
      <c r="Q491" t="inlineStr"/>
      <c r="R491" t="inlineStr"/>
      <c r="S491">
        <f>HYPERLINK("https://helical-indexing-hi3d.streamlit.app/?emd_id=emd-19818&amp;rise=4.752&amp;twist=1.309&amp;csym=1&amp;rise2=4.752&amp;twist2=1.309&amp;csym2=1", "Link")</f>
        <v/>
      </c>
    </row>
    <row r="492">
      <c r="A492" t="inlineStr">
        <is>
          <t>EMD-41610</t>
        </is>
      </c>
      <c r="B492" t="inlineStr">
        <is>
          <t>amyloid</t>
        </is>
      </c>
      <c r="C492" t="n">
        <v>2.6</v>
      </c>
      <c r="D492" t="n">
        <v>4.8</v>
      </c>
      <c r="E492" t="n">
        <v>-0.7</v>
      </c>
      <c r="F492" t="inlineStr">
        <is>
          <t>C1</t>
        </is>
      </c>
      <c r="G492" t="inlineStr">
        <is>
          <t>4.8</t>
        </is>
      </c>
      <c r="H492" t="n">
        <v>-0.7</v>
      </c>
      <c r="I492" t="inlineStr">
        <is>
          <t>C1</t>
        </is>
      </c>
      <c r="J492" t="n">
        <v>0</v>
      </c>
      <c r="K492" t="inlineStr"/>
      <c r="L492" t="n">
        <v>0.8510799999999999</v>
      </c>
      <c r="M492" t="n">
        <v>0.8510799999999999</v>
      </c>
      <c r="N492" t="inlineStr">
        <is>
          <t>Yes</t>
        </is>
      </c>
      <c r="O492" t="inlineStr">
        <is>
          <t>equal</t>
        </is>
      </c>
      <c r="P492" t="inlineStr">
        <is>
          <t>deposited</t>
        </is>
      </c>
      <c r="Q492" t="inlineStr"/>
      <c r="R492" t="inlineStr"/>
      <c r="S492">
        <f>HYPERLINK("https://helical-indexing-hi3d.streamlit.app/?emd_id=emd-41610&amp;rise=4.8&amp;twist=-0.7&amp;csym=1&amp;rise2=4.8&amp;twist2=-0.7&amp;csym2=1", "Link")</f>
        <v/>
      </c>
    </row>
    <row r="493">
      <c r="A493" t="inlineStr">
        <is>
          <t>EMD-37445</t>
        </is>
      </c>
      <c r="B493" t="inlineStr">
        <is>
          <t>amyloid</t>
        </is>
      </c>
      <c r="C493" t="n">
        <v>3.28</v>
      </c>
      <c r="D493" t="n">
        <v>4.78</v>
      </c>
      <c r="E493" t="n">
        <v>-1.36</v>
      </c>
      <c r="F493" t="inlineStr">
        <is>
          <t>C1</t>
        </is>
      </c>
      <c r="G493" t="inlineStr">
        <is>
          <t>4.78</t>
        </is>
      </c>
      <c r="H493" t="n">
        <v>-1.36</v>
      </c>
      <c r="I493" t="inlineStr">
        <is>
          <t>C1</t>
        </is>
      </c>
      <c r="J493" t="n">
        <v>0</v>
      </c>
      <c r="K493" t="inlineStr"/>
      <c r="L493" t="n">
        <v>0.95747</v>
      </c>
      <c r="M493" t="n">
        <v>0.95747</v>
      </c>
      <c r="N493" t="inlineStr">
        <is>
          <t>Yes</t>
        </is>
      </c>
      <c r="O493" t="inlineStr">
        <is>
          <t>equal</t>
        </is>
      </c>
      <c r="P493" t="inlineStr">
        <is>
          <t>deposited</t>
        </is>
      </c>
      <c r="Q493" t="inlineStr"/>
      <c r="R493" t="inlineStr"/>
      <c r="S493">
        <f>HYPERLINK("https://helical-indexing-hi3d.streamlit.app/?emd_id=emd-37445&amp;rise=4.78&amp;twist=-1.36&amp;csym=1&amp;rise2=4.78&amp;twist2=-1.36&amp;csym2=1", "Link")</f>
        <v/>
      </c>
    </row>
    <row r="494">
      <c r="A494" t="inlineStr">
        <is>
          <t>EMD-43826</t>
        </is>
      </c>
      <c r="B494" t="inlineStr">
        <is>
          <t>amyloid</t>
        </is>
      </c>
      <c r="C494" t="n">
        <v>4.5</v>
      </c>
      <c r="D494" t="n">
        <v>4.8</v>
      </c>
      <c r="E494" t="n">
        <v>-0.8</v>
      </c>
      <c r="F494" t="inlineStr">
        <is>
          <t>C1</t>
        </is>
      </c>
      <c r="G494" t="inlineStr">
        <is>
          <t>4.8</t>
        </is>
      </c>
      <c r="H494" t="n">
        <v>-0.8</v>
      </c>
      <c r="I494" t="inlineStr">
        <is>
          <t>C1</t>
        </is>
      </c>
      <c r="J494" t="n">
        <v>0</v>
      </c>
      <c r="K494" t="inlineStr"/>
      <c r="L494" t="n">
        <v>0.84451</v>
      </c>
      <c r="M494" t="n">
        <v>0.84451</v>
      </c>
      <c r="N494" t="inlineStr">
        <is>
          <t>Yes</t>
        </is>
      </c>
      <c r="O494" t="inlineStr">
        <is>
          <t>equal</t>
        </is>
      </c>
      <c r="P494" t="inlineStr">
        <is>
          <t>deposited</t>
        </is>
      </c>
      <c r="Q494" t="inlineStr"/>
      <c r="R494" t="inlineStr"/>
      <c r="S494">
        <f>HYPERLINK("https://helical-indexing-hi3d.streamlit.app/?emd_id=emd-43826&amp;rise=4.8&amp;twist=-0.8&amp;csym=1&amp;rise2=4.8&amp;twist2=-0.8&amp;csym2=1", "Link")</f>
        <v/>
      </c>
    </row>
    <row r="495">
      <c r="A495" t="inlineStr">
        <is>
          <t>EMD-43824</t>
        </is>
      </c>
      <c r="B495" t="inlineStr">
        <is>
          <t>amyloid</t>
        </is>
      </c>
      <c r="C495" t="n">
        <v>5.8</v>
      </c>
      <c r="D495" t="n">
        <v>2.4</v>
      </c>
      <c r="E495" t="n">
        <v>179.62</v>
      </c>
      <c r="F495" t="inlineStr">
        <is>
          <t>C1</t>
        </is>
      </c>
      <c r="G495" t="inlineStr">
        <is>
          <t>2.4</t>
        </is>
      </c>
      <c r="H495" t="n">
        <v>179.62</v>
      </c>
      <c r="I495" t="inlineStr">
        <is>
          <t>C1</t>
        </is>
      </c>
      <c r="J495" t="n">
        <v>0</v>
      </c>
      <c r="K495" t="inlineStr"/>
      <c r="L495" t="n">
        <v>0.81087</v>
      </c>
      <c r="M495" t="n">
        <v>0.81087</v>
      </c>
      <c r="N495" t="inlineStr">
        <is>
          <t>Yes</t>
        </is>
      </c>
      <c r="O495" t="inlineStr">
        <is>
          <t>equal</t>
        </is>
      </c>
      <c r="P495" t="inlineStr">
        <is>
          <t>deposited</t>
        </is>
      </c>
      <c r="Q495" t="inlineStr"/>
      <c r="R495" t="inlineStr"/>
      <c r="S495">
        <f>HYPERLINK("https://helical-indexing-hi3d.streamlit.app/?emd_id=emd-43824&amp;rise=2.4&amp;twist=179.62&amp;csym=1&amp;rise2=2.4&amp;twist2=179.62&amp;csym2=1", "Link")</f>
        <v/>
      </c>
    </row>
    <row r="496">
      <c r="A496" t="inlineStr">
        <is>
          <t>EMD-19986</t>
        </is>
      </c>
      <c r="B496" t="inlineStr">
        <is>
          <t>amyloid</t>
        </is>
      </c>
      <c r="C496" t="n">
        <v>1.93</v>
      </c>
      <c r="D496" t="n">
        <v>2.36</v>
      </c>
      <c r="E496" t="n">
        <v>179.52</v>
      </c>
      <c r="F496" t="inlineStr">
        <is>
          <t>C1</t>
        </is>
      </c>
      <c r="G496" t="inlineStr">
        <is>
          <t>2.464858492</t>
        </is>
      </c>
      <c r="H496" t="n">
        <v>179.5085067</v>
      </c>
      <c r="I496" t="inlineStr">
        <is>
          <t>C1</t>
        </is>
      </c>
      <c r="J496" t="n">
        <v>0.1050766167748671</v>
      </c>
      <c r="K496" t="inlineStr"/>
      <c r="L496" t="n">
        <v>0.5208</v>
      </c>
      <c r="M496" t="n">
        <v>0.72242</v>
      </c>
      <c r="N496" t="inlineStr">
        <is>
          <t>No</t>
        </is>
      </c>
      <c r="O496" t="inlineStr">
        <is>
          <t>improve</t>
        </is>
      </c>
      <c r="P496" t="inlineStr">
        <is>
          <t>adjusted decimals</t>
        </is>
      </c>
      <c r="Q496" t="inlineStr"/>
      <c r="R496" t="inlineStr"/>
      <c r="S496">
        <f>HYPERLINK("https://helical-indexing-hi3d.streamlit.app/?emd_id=emd-19986&amp;rise=2.464858492&amp;twist=179.5085067&amp;csym=1&amp;rise2=2.36&amp;twist2=179.52&amp;csym2=1", "Link")</f>
        <v/>
      </c>
    </row>
    <row r="497">
      <c r="A497" t="inlineStr">
        <is>
          <t>EMD-19854</t>
        </is>
      </c>
      <c r="B497" t="inlineStr">
        <is>
          <t>amyloid</t>
        </is>
      </c>
      <c r="C497" t="n">
        <v>3</v>
      </c>
      <c r="D497" t="n">
        <v>2.37</v>
      </c>
      <c r="E497" t="n">
        <v>179.4</v>
      </c>
      <c r="F497" t="inlineStr">
        <is>
          <t>C1</t>
        </is>
      </c>
      <c r="G497" t="inlineStr">
        <is>
          <t>2.37</t>
        </is>
      </c>
      <c r="H497" t="n">
        <v>179.4</v>
      </c>
      <c r="I497" t="inlineStr">
        <is>
          <t>C1</t>
        </is>
      </c>
      <c r="J497" t="n">
        <v>0</v>
      </c>
      <c r="K497" t="inlineStr"/>
      <c r="L497" t="n">
        <v>0.91149</v>
      </c>
      <c r="M497" t="n">
        <v>0.91149</v>
      </c>
      <c r="N497" t="inlineStr">
        <is>
          <t>Yes</t>
        </is>
      </c>
      <c r="O497" t="inlineStr">
        <is>
          <t>equal</t>
        </is>
      </c>
      <c r="P497" t="inlineStr">
        <is>
          <t>deposited</t>
        </is>
      </c>
      <c r="Q497" t="inlineStr"/>
      <c r="R497" t="inlineStr"/>
      <c r="S497">
        <f>HYPERLINK("https://helical-indexing-hi3d.streamlit.app/?emd_id=emd-19854&amp;rise=2.37&amp;twist=179.4&amp;csym=1&amp;rise2=2.37&amp;twist2=179.4&amp;csym2=1", "Link")</f>
        <v/>
      </c>
    </row>
    <row r="498">
      <c r="A498" t="inlineStr">
        <is>
          <t>EMD-19928</t>
        </is>
      </c>
      <c r="B498" t="inlineStr">
        <is>
          <t>amyloid</t>
        </is>
      </c>
      <c r="C498" t="n">
        <v>2.9</v>
      </c>
      <c r="D498" t="n">
        <v>4.8</v>
      </c>
      <c r="E498" t="n">
        <v>-1.19</v>
      </c>
      <c r="F498" t="inlineStr">
        <is>
          <t>C1</t>
        </is>
      </c>
      <c r="G498" t="inlineStr">
        <is>
          <t>4.8</t>
        </is>
      </c>
      <c r="H498" t="n">
        <v>-1.19</v>
      </c>
      <c r="I498" t="inlineStr">
        <is>
          <t>C1</t>
        </is>
      </c>
      <c r="J498" t="n">
        <v>0</v>
      </c>
      <c r="K498" t="inlineStr"/>
      <c r="L498" t="n">
        <v>0.97239</v>
      </c>
      <c r="M498" t="n">
        <v>0.97239</v>
      </c>
      <c r="N498" t="inlineStr">
        <is>
          <t>Yes</t>
        </is>
      </c>
      <c r="O498" t="inlineStr">
        <is>
          <t>equal</t>
        </is>
      </c>
      <c r="P498" t="inlineStr">
        <is>
          <t>deposited</t>
        </is>
      </c>
      <c r="Q498" t="inlineStr"/>
      <c r="R498" t="inlineStr"/>
      <c r="S498">
        <f>HYPERLINK("https://helical-indexing-hi3d.streamlit.app/?emd_id=emd-19928&amp;rise=4.8&amp;twist=-1.19&amp;csym=1&amp;rise2=4.8&amp;twist2=-1.19&amp;csym2=1", "Link")</f>
        <v/>
      </c>
    </row>
    <row r="499">
      <c r="A499" t="inlineStr">
        <is>
          <t>EMD-17726</t>
        </is>
      </c>
      <c r="B499" t="inlineStr">
        <is>
          <t>amyloid</t>
        </is>
      </c>
      <c r="C499" t="n">
        <v>3.3</v>
      </c>
      <c r="D499" t="n">
        <v>2.42</v>
      </c>
      <c r="E499" t="n">
        <v>179.6</v>
      </c>
      <c r="F499" t="inlineStr">
        <is>
          <t>C1</t>
        </is>
      </c>
      <c r="G499" t="inlineStr">
        <is>
          <t>2.42</t>
        </is>
      </c>
      <c r="H499" t="n">
        <v>179.6</v>
      </c>
      <c r="I499" t="inlineStr">
        <is>
          <t>C1</t>
        </is>
      </c>
      <c r="J499" t="n">
        <v>0</v>
      </c>
      <c r="K499" t="inlineStr"/>
      <c r="L499" t="n">
        <v>0.8757</v>
      </c>
      <c r="M499" t="n">
        <v>0.8757</v>
      </c>
      <c r="N499" t="inlineStr">
        <is>
          <t>Yes</t>
        </is>
      </c>
      <c r="O499" t="inlineStr">
        <is>
          <t>equal</t>
        </is>
      </c>
      <c r="P499" t="inlineStr">
        <is>
          <t>deposited</t>
        </is>
      </c>
      <c r="Q499" t="inlineStr"/>
      <c r="R499" t="inlineStr"/>
      <c r="S499">
        <f>HYPERLINK("https://helical-indexing-hi3d.streamlit.app/?emd_id=emd-17726&amp;rise=2.42&amp;twist=179.6&amp;csym=1&amp;rise2=2.42&amp;twist2=179.6&amp;csym2=1", "Link")</f>
        <v/>
      </c>
    </row>
    <row r="500">
      <c r="A500" t="inlineStr">
        <is>
          <t>EMD-17693</t>
        </is>
      </c>
      <c r="B500" t="inlineStr">
        <is>
          <t>amyloid</t>
        </is>
      </c>
      <c r="C500" t="n">
        <v>3.41</v>
      </c>
      <c r="D500" t="n">
        <v>4.772</v>
      </c>
      <c r="E500" t="n">
        <v>-0.995</v>
      </c>
      <c r="F500" t="inlineStr">
        <is>
          <t>C2</t>
        </is>
      </c>
      <c r="G500" t="inlineStr">
        <is>
          <t>4.772</t>
        </is>
      </c>
      <c r="H500" t="n">
        <v>-0.995</v>
      </c>
      <c r="I500" t="inlineStr">
        <is>
          <t>C2</t>
        </is>
      </c>
      <c r="J500" t="n">
        <v>0</v>
      </c>
      <c r="K500" t="inlineStr"/>
      <c r="L500" t="n">
        <v>0.8198</v>
      </c>
      <c r="M500" t="n">
        <v>0.8198</v>
      </c>
      <c r="N500" t="inlineStr">
        <is>
          <t>Yes</t>
        </is>
      </c>
      <c r="O500" t="inlineStr">
        <is>
          <t>equal</t>
        </is>
      </c>
      <c r="P500" t="inlineStr">
        <is>
          <t>deposited</t>
        </is>
      </c>
      <c r="Q500" t="inlineStr"/>
      <c r="R500" t="inlineStr"/>
      <c r="S500">
        <f>HYPERLINK("https://helical-indexing-hi3d.streamlit.app/?emd_id=emd-17693&amp;rise=4.772&amp;twist=-0.995&amp;csym=2&amp;rise2=4.772&amp;twist2=-0.995&amp;csym2=2", "Link")</f>
        <v/>
      </c>
    </row>
    <row r="501">
      <c r="A501" t="inlineStr">
        <is>
          <t>EMD-19927</t>
        </is>
      </c>
      <c r="B501" t="inlineStr">
        <is>
          <t>amyloid</t>
        </is>
      </c>
      <c r="C501" t="n">
        <v>2.5</v>
      </c>
      <c r="D501" t="n">
        <v>2.4</v>
      </c>
      <c r="E501" t="n">
        <v>179.4</v>
      </c>
      <c r="F501" t="inlineStr">
        <is>
          <t>C1</t>
        </is>
      </c>
      <c r="G501" t="inlineStr">
        <is>
          <t>2.4</t>
        </is>
      </c>
      <c r="H501" t="n">
        <v>179.4</v>
      </c>
      <c r="I501" t="inlineStr">
        <is>
          <t>C1</t>
        </is>
      </c>
      <c r="J501" t="n">
        <v>0</v>
      </c>
      <c r="K501" t="inlineStr"/>
      <c r="L501" t="n">
        <v>0.95112</v>
      </c>
      <c r="M501" t="n">
        <v>0.95112</v>
      </c>
      <c r="N501" t="inlineStr">
        <is>
          <t>Yes</t>
        </is>
      </c>
      <c r="O501" t="inlineStr">
        <is>
          <t>equal</t>
        </is>
      </c>
      <c r="P501" t="inlineStr">
        <is>
          <t>deposited</t>
        </is>
      </c>
      <c r="Q501" t="inlineStr"/>
      <c r="R501" t="inlineStr"/>
      <c r="S501">
        <f>HYPERLINK("https://helical-indexing-hi3d.streamlit.app/?emd_id=emd-19927&amp;rise=2.4&amp;twist=179.4&amp;csym=1&amp;rise2=2.4&amp;twist2=179.4&amp;csym2=1", "Link")</f>
        <v/>
      </c>
    </row>
    <row r="502">
      <c r="A502" t="inlineStr">
        <is>
          <t>EMD-17723</t>
        </is>
      </c>
      <c r="B502" t="inlineStr">
        <is>
          <t>amyloid</t>
        </is>
      </c>
      <c r="C502" t="n">
        <v>3.26</v>
      </c>
      <c r="D502" t="n">
        <v>2.37</v>
      </c>
      <c r="E502" t="n">
        <v>179.5</v>
      </c>
      <c r="F502" t="inlineStr">
        <is>
          <t>C1</t>
        </is>
      </c>
      <c r="G502" t="inlineStr">
        <is>
          <t>4.776822753</t>
        </is>
      </c>
      <c r="H502" t="n">
        <v>-0.883867826</v>
      </c>
      <c r="I502" t="inlineStr">
        <is>
          <t>C1</t>
        </is>
      </c>
      <c r="J502" t="n">
        <v>25.52921051912332</v>
      </c>
      <c r="K502" t="inlineStr"/>
      <c r="L502" t="n">
        <v>0.59889</v>
      </c>
      <c r="M502" t="n">
        <v>0.82938</v>
      </c>
      <c r="N502" t="inlineStr">
        <is>
          <t>Yes</t>
        </is>
      </c>
      <c r="O502" t="inlineStr">
        <is>
          <t>improve</t>
        </is>
      </c>
      <c r="P502" t="inlineStr">
        <is>
          <t>different</t>
        </is>
      </c>
      <c r="Q502" t="inlineStr"/>
      <c r="R502" t="inlineStr"/>
      <c r="S502">
        <f>HYPERLINK("https://helical-indexing-hi3d.streamlit.app/?emd_id=emd-17723&amp;rise=4.776822753&amp;twist=-0.883867826&amp;csym=1&amp;rise2=2.37&amp;twist2=179.5&amp;csym2=1", "Link")</f>
        <v/>
      </c>
    </row>
    <row r="503">
      <c r="A503" t="inlineStr">
        <is>
          <t>EMD-19855</t>
        </is>
      </c>
      <c r="B503" t="inlineStr">
        <is>
          <t>amyloid</t>
        </is>
      </c>
      <c r="C503" t="n">
        <v>2.8</v>
      </c>
      <c r="D503" t="n">
        <v>2.37</v>
      </c>
      <c r="E503" t="n">
        <v>179.2</v>
      </c>
      <c r="F503" t="inlineStr">
        <is>
          <t>C1</t>
        </is>
      </c>
      <c r="G503" t="inlineStr">
        <is>
          <t>2.37</t>
        </is>
      </c>
      <c r="H503" t="n">
        <v>179.2</v>
      </c>
      <c r="I503" t="inlineStr">
        <is>
          <t>C1</t>
        </is>
      </c>
      <c r="J503" t="n">
        <v>0</v>
      </c>
      <c r="K503" t="inlineStr"/>
      <c r="L503" t="n">
        <v>0.78509</v>
      </c>
      <c r="M503" t="n">
        <v>0.78509</v>
      </c>
      <c r="N503" t="inlineStr">
        <is>
          <t>Yes</t>
        </is>
      </c>
      <c r="O503" t="inlineStr">
        <is>
          <t>equal</t>
        </is>
      </c>
      <c r="P503" t="inlineStr">
        <is>
          <t>deposited</t>
        </is>
      </c>
      <c r="Q503" t="inlineStr"/>
      <c r="R503" t="inlineStr"/>
      <c r="S503">
        <f>HYPERLINK("https://helical-indexing-hi3d.streamlit.app/?emd_id=emd-19855&amp;rise=2.37&amp;twist=179.2&amp;csym=1&amp;rise2=2.37&amp;twist2=179.2&amp;csym2=1", "Link")</f>
        <v/>
      </c>
    </row>
    <row r="504">
      <c r="A504" t="inlineStr">
        <is>
          <t>EMD-17680</t>
        </is>
      </c>
      <c r="B504" t="inlineStr">
        <is>
          <t>amyloid</t>
        </is>
      </c>
      <c r="C504" t="n">
        <v>2.42</v>
      </c>
      <c r="D504" t="n">
        <v>2.37</v>
      </c>
      <c r="E504" t="n">
        <v>179.5</v>
      </c>
      <c r="F504" t="inlineStr">
        <is>
          <t>C1</t>
        </is>
      </c>
      <c r="G504" t="inlineStr">
        <is>
          <t>2.37</t>
        </is>
      </c>
      <c r="H504" t="n">
        <v>179.5</v>
      </c>
      <c r="I504" t="inlineStr">
        <is>
          <t>C1</t>
        </is>
      </c>
      <c r="J504" t="n">
        <v>0</v>
      </c>
      <c r="K504" t="inlineStr"/>
      <c r="L504" t="n">
        <v>0.89663</v>
      </c>
      <c r="M504" t="n">
        <v>0.89663</v>
      </c>
      <c r="N504" t="inlineStr">
        <is>
          <t>Yes</t>
        </is>
      </c>
      <c r="O504" t="inlineStr">
        <is>
          <t>equal</t>
        </is>
      </c>
      <c r="P504" t="inlineStr">
        <is>
          <t>deposited</t>
        </is>
      </c>
      <c r="Q504" t="inlineStr"/>
      <c r="R504" t="inlineStr"/>
      <c r="S504">
        <f>HYPERLINK("https://helical-indexing-hi3d.streamlit.app/?emd_id=emd-17680&amp;rise=2.37&amp;twist=179.5&amp;csym=1&amp;rise2=2.37&amp;twist2=179.5&amp;csym2=1", "Link")</f>
        <v/>
      </c>
    </row>
    <row r="505">
      <c r="A505" t="inlineStr">
        <is>
          <t>EMD-19926</t>
        </is>
      </c>
      <c r="B505" t="inlineStr">
        <is>
          <t>amyloid</t>
        </is>
      </c>
      <c r="C505" t="n">
        <v>2.3</v>
      </c>
      <c r="D505" t="n">
        <v>2.4</v>
      </c>
      <c r="E505" t="n">
        <v>179.4</v>
      </c>
      <c r="F505" t="inlineStr">
        <is>
          <t>C1</t>
        </is>
      </c>
      <c r="G505" t="inlineStr">
        <is>
          <t>2.4</t>
        </is>
      </c>
      <c r="H505" t="n">
        <v>179.4</v>
      </c>
      <c r="I505" t="inlineStr">
        <is>
          <t>C1</t>
        </is>
      </c>
      <c r="J505" t="n">
        <v>0</v>
      </c>
      <c r="K505" t="inlineStr"/>
      <c r="L505" t="n">
        <v>0.94857</v>
      </c>
      <c r="M505" t="n">
        <v>0.94857</v>
      </c>
      <c r="N505" t="inlineStr">
        <is>
          <t>Yes</t>
        </is>
      </c>
      <c r="O505" t="inlineStr">
        <is>
          <t>equal</t>
        </is>
      </c>
      <c r="P505" t="inlineStr">
        <is>
          <t>deposited</t>
        </is>
      </c>
      <c r="Q505" t="inlineStr"/>
      <c r="R505" t="inlineStr"/>
      <c r="S505">
        <f>HYPERLINK("https://helical-indexing-hi3d.streamlit.app/?emd_id=emd-19926&amp;rise=2.4&amp;twist=179.4&amp;csym=1&amp;rise2=2.4&amp;twist2=179.4&amp;csym2=1", "Link")</f>
        <v/>
      </c>
    </row>
    <row r="506">
      <c r="A506" t="inlineStr">
        <is>
          <t>EMD-17714</t>
        </is>
      </c>
      <c r="B506" t="inlineStr">
        <is>
          <t>amyloid</t>
        </is>
      </c>
      <c r="C506" t="n">
        <v>2.31</v>
      </c>
      <c r="D506" t="n">
        <v>2.407</v>
      </c>
      <c r="E506" t="n">
        <v>179.502</v>
      </c>
      <c r="F506" t="inlineStr">
        <is>
          <t>C1</t>
        </is>
      </c>
      <c r="G506" t="inlineStr">
        <is>
          <t>2.407</t>
        </is>
      </c>
      <c r="H506" t="n">
        <v>179.502</v>
      </c>
      <c r="I506" t="inlineStr">
        <is>
          <t>C1</t>
        </is>
      </c>
      <c r="J506" t="n">
        <v>0</v>
      </c>
      <c r="K506" t="inlineStr"/>
      <c r="L506" t="n">
        <v>0.89375</v>
      </c>
      <c r="M506" t="n">
        <v>0.89375</v>
      </c>
      <c r="N506" t="inlineStr">
        <is>
          <t>Yes</t>
        </is>
      </c>
      <c r="O506" t="inlineStr">
        <is>
          <t>equal</t>
        </is>
      </c>
      <c r="P506" t="inlineStr">
        <is>
          <t>deposited</t>
        </is>
      </c>
      <c r="Q506" t="inlineStr"/>
      <c r="R506" t="inlineStr"/>
      <c r="S506">
        <f>HYPERLINK("https://helical-indexing-hi3d.streamlit.app/?emd_id=emd-17714&amp;rise=2.407&amp;twist=179.502&amp;csym=1&amp;rise2=2.407&amp;twist2=179.502&amp;csym2=1", "Link")</f>
        <v/>
      </c>
    </row>
    <row r="507">
      <c r="A507" t="inlineStr">
        <is>
          <t>EMD-50076</t>
        </is>
      </c>
      <c r="B507" t="inlineStr">
        <is>
          <t>amyloid</t>
        </is>
      </c>
      <c r="C507" t="n">
        <v>2.86</v>
      </c>
      <c r="D507" t="n">
        <v>4.82</v>
      </c>
      <c r="E507" t="n">
        <v>-0.8</v>
      </c>
      <c r="F507" t="inlineStr">
        <is>
          <t>C2</t>
        </is>
      </c>
      <c r="G507" t="inlineStr">
        <is>
          <t>4.82</t>
        </is>
      </c>
      <c r="H507" t="n">
        <v>-0.8</v>
      </c>
      <c r="I507" t="inlineStr">
        <is>
          <t>C2</t>
        </is>
      </c>
      <c r="J507" t="n">
        <v>0</v>
      </c>
      <c r="K507" t="inlineStr"/>
      <c r="L507" t="n">
        <v>0.90854</v>
      </c>
      <c r="M507" t="n">
        <v>0.90854</v>
      </c>
      <c r="N507" t="inlineStr">
        <is>
          <t>Yes</t>
        </is>
      </c>
      <c r="O507" t="inlineStr">
        <is>
          <t>equal</t>
        </is>
      </c>
      <c r="P507" t="inlineStr">
        <is>
          <t>deposited</t>
        </is>
      </c>
      <c r="Q507" t="inlineStr"/>
      <c r="R507" t="inlineStr"/>
      <c r="S507">
        <f>HYPERLINK("https://helical-indexing-hi3d.streamlit.app/?emd_id=emd-50076&amp;rise=4.82&amp;twist=-0.8&amp;csym=2&amp;rise2=4.82&amp;twist2=-0.8&amp;csym2=2", "Link")</f>
        <v/>
      </c>
    </row>
    <row r="508">
      <c r="A508" t="inlineStr">
        <is>
          <t>EMD-50077</t>
        </is>
      </c>
      <c r="B508" t="inlineStr">
        <is>
          <t>amyloid</t>
        </is>
      </c>
      <c r="C508" t="n">
        <v>2.95</v>
      </c>
      <c r="D508" t="n">
        <v>2.39</v>
      </c>
      <c r="E508" t="n">
        <v>179.6</v>
      </c>
      <c r="F508" t="inlineStr">
        <is>
          <t>C1</t>
        </is>
      </c>
      <c r="G508" t="inlineStr">
        <is>
          <t>2.39</t>
        </is>
      </c>
      <c r="H508" t="n">
        <v>179.6</v>
      </c>
      <c r="I508" t="inlineStr">
        <is>
          <t>C1</t>
        </is>
      </c>
      <c r="J508" t="n">
        <v>0</v>
      </c>
      <c r="K508" t="inlineStr"/>
      <c r="L508" t="n">
        <v>0.81679</v>
      </c>
      <c r="M508" t="n">
        <v>0.81679</v>
      </c>
      <c r="N508" t="inlineStr">
        <is>
          <t>Yes</t>
        </is>
      </c>
      <c r="O508" t="inlineStr">
        <is>
          <t>equal</t>
        </is>
      </c>
      <c r="P508" t="inlineStr">
        <is>
          <t>deposited</t>
        </is>
      </c>
      <c r="Q508" t="inlineStr"/>
      <c r="R508" t="inlineStr"/>
      <c r="S508">
        <f>HYPERLINK("https://helical-indexing-hi3d.streamlit.app/?emd_id=emd-50077&amp;rise=2.39&amp;twist=179.6&amp;csym=1&amp;rise2=2.39&amp;twist2=179.6&amp;csym2=1", "Link")</f>
        <v/>
      </c>
    </row>
    <row r="509">
      <c r="A509" t="inlineStr">
        <is>
          <t>EMD-44422</t>
        </is>
      </c>
      <c r="B509" t="inlineStr">
        <is>
          <t>amyloid</t>
        </is>
      </c>
      <c r="C509" t="n">
        <v>3.2</v>
      </c>
      <c r="D509" t="n">
        <v>2.375</v>
      </c>
      <c r="E509" t="n">
        <v>179.591</v>
      </c>
      <c r="F509" t="inlineStr">
        <is>
          <t>C1</t>
        </is>
      </c>
      <c r="G509" t="inlineStr">
        <is>
          <t>2.375</t>
        </is>
      </c>
      <c r="H509" t="n">
        <v>179.591</v>
      </c>
      <c r="I509" t="inlineStr">
        <is>
          <t>C1</t>
        </is>
      </c>
      <c r="J509" t="n">
        <v>0</v>
      </c>
      <c r="K509" t="inlineStr"/>
      <c r="L509" t="n">
        <v>0.76054</v>
      </c>
      <c r="M509" t="n">
        <v>0.76054</v>
      </c>
      <c r="N509" t="inlineStr">
        <is>
          <t>Yes</t>
        </is>
      </c>
      <c r="O509" t="inlineStr">
        <is>
          <t>equal</t>
        </is>
      </c>
      <c r="P509" t="inlineStr">
        <is>
          <t>deposited</t>
        </is>
      </c>
      <c r="Q509" t="inlineStr"/>
      <c r="R509" t="inlineStr"/>
      <c r="S509">
        <f>HYPERLINK("https://helical-indexing-hi3d.streamlit.app/?emd_id=emd-44422&amp;rise=2.375&amp;twist=179.591&amp;csym=1&amp;rise2=2.375&amp;twist2=179.591&amp;csym2=1", "Link")</f>
        <v/>
      </c>
    </row>
    <row r="510">
      <c r="A510" t="inlineStr">
        <is>
          <t>EMD-40677</t>
        </is>
      </c>
      <c r="B510" t="inlineStr">
        <is>
          <t>amyloid</t>
        </is>
      </c>
      <c r="C510" t="n">
        <v>3</v>
      </c>
      <c r="D510" t="n">
        <v>4.81</v>
      </c>
      <c r="E510" t="n">
        <v>-3.32</v>
      </c>
      <c r="F510" t="inlineStr">
        <is>
          <t>C1</t>
        </is>
      </c>
      <c r="G510" t="inlineStr">
        <is>
          <t>4.92</t>
        </is>
      </c>
      <c r="H510" t="n">
        <v>-3.39</v>
      </c>
      <c r="I510" t="inlineStr">
        <is>
          <t>C1</t>
        </is>
      </c>
      <c r="J510" t="n">
        <v>0.1115938172727328</v>
      </c>
      <c r="K510" t="inlineStr"/>
      <c r="L510" t="n">
        <v>0.73503</v>
      </c>
      <c r="M510" t="n">
        <v>0.95374</v>
      </c>
      <c r="N510" t="inlineStr">
        <is>
          <t>Yes</t>
        </is>
      </c>
      <c r="O510" t="inlineStr">
        <is>
          <t>improve</t>
        </is>
      </c>
      <c r="P510" t="inlineStr">
        <is>
          <t>adjusted decimals</t>
        </is>
      </c>
      <c r="Q510" t="inlineStr"/>
      <c r="R510" t="inlineStr"/>
      <c r="S510">
        <f>HYPERLINK("https://helical-indexing-hi3d.streamlit.app/?emd_id=emd-40677&amp;rise=4.92&amp;twist=-3.39&amp;csym=1&amp;rise2=4.81&amp;twist2=-3.32&amp;csym2=1", "Link")</f>
        <v/>
      </c>
    </row>
    <row r="511">
      <c r="A511" t="inlineStr">
        <is>
          <t>EMD-44421</t>
        </is>
      </c>
      <c r="B511" t="inlineStr">
        <is>
          <t>amyloid</t>
        </is>
      </c>
      <c r="C511" t="n">
        <v>2.5</v>
      </c>
      <c r="D511" t="n">
        <v>4.745</v>
      </c>
      <c r="E511" t="n">
        <v>-0.841</v>
      </c>
      <c r="F511" t="inlineStr">
        <is>
          <t>C1</t>
        </is>
      </c>
      <c r="G511" t="inlineStr">
        <is>
          <t>4.745</t>
        </is>
      </c>
      <c r="H511" t="n">
        <v>-0.841</v>
      </c>
      <c r="I511" t="inlineStr">
        <is>
          <t>C1</t>
        </is>
      </c>
      <c r="J511" t="n">
        <v>0</v>
      </c>
      <c r="K511" t="inlineStr"/>
      <c r="L511" t="n">
        <v>0.84322</v>
      </c>
      <c r="M511" t="n">
        <v>0.84322</v>
      </c>
      <c r="N511" t="inlineStr">
        <is>
          <t>Yes</t>
        </is>
      </c>
      <c r="O511" t="inlineStr">
        <is>
          <t>equal</t>
        </is>
      </c>
      <c r="P511" t="inlineStr">
        <is>
          <t>deposited</t>
        </is>
      </c>
      <c r="Q511" t="inlineStr"/>
      <c r="R511" t="inlineStr"/>
      <c r="S511">
        <f>HYPERLINK("https://helical-indexing-hi3d.streamlit.app/?emd_id=emd-44421&amp;rise=4.745&amp;twist=-0.841&amp;csym=1&amp;rise2=4.745&amp;twist2=-0.841&amp;csym2=1", "Link")</f>
        <v/>
      </c>
    </row>
    <row r="512">
      <c r="A512" t="inlineStr">
        <is>
          <t>EMD-37963</t>
        </is>
      </c>
      <c r="B512" t="inlineStr">
        <is>
          <t>amyloid</t>
        </is>
      </c>
      <c r="C512" t="n">
        <v>2.88</v>
      </c>
      <c r="D512" t="n">
        <v>2.38</v>
      </c>
      <c r="E512" t="n">
        <v>179.217</v>
      </c>
      <c r="F512" t="inlineStr">
        <is>
          <t>C1</t>
        </is>
      </c>
      <c r="G512" t="inlineStr">
        <is>
          <t>2.38</t>
        </is>
      </c>
      <c r="H512" t="n">
        <v>179.217</v>
      </c>
      <c r="I512" t="inlineStr">
        <is>
          <t>C1</t>
        </is>
      </c>
      <c r="J512" t="n">
        <v>0</v>
      </c>
      <c r="K512" t="inlineStr"/>
      <c r="L512" t="n">
        <v>0.84577</v>
      </c>
      <c r="M512" t="n">
        <v>0.84577</v>
      </c>
      <c r="N512" t="inlineStr">
        <is>
          <t>Yes</t>
        </is>
      </c>
      <c r="O512" t="inlineStr">
        <is>
          <t>equal</t>
        </is>
      </c>
      <c r="P512" t="inlineStr">
        <is>
          <t>deposited</t>
        </is>
      </c>
      <c r="Q512" t="inlineStr"/>
      <c r="R512" t="inlineStr"/>
      <c r="S512">
        <f>HYPERLINK("https://helical-indexing-hi3d.streamlit.app/?emd_id=emd-37963&amp;rise=2.38&amp;twist=179.217&amp;csym=1&amp;rise2=2.38&amp;twist2=179.217&amp;csym2=1", "Link")</f>
        <v/>
      </c>
    </row>
    <row r="513">
      <c r="A513" t="inlineStr">
        <is>
          <t>EMD-36043</t>
        </is>
      </c>
      <c r="B513" t="inlineStr">
        <is>
          <t>amyloid</t>
        </is>
      </c>
      <c r="C513" t="n">
        <v>3</v>
      </c>
      <c r="D513" t="n">
        <v>4.84</v>
      </c>
      <c r="E513" t="n">
        <v>-0.6899999999999999</v>
      </c>
      <c r="F513" t="inlineStr">
        <is>
          <t>C1</t>
        </is>
      </c>
      <c r="G513" t="inlineStr">
        <is>
          <t>4.84</t>
        </is>
      </c>
      <c r="H513" t="n">
        <v>-0.6899999999999999</v>
      </c>
      <c r="I513" t="inlineStr">
        <is>
          <t>C1</t>
        </is>
      </c>
      <c r="J513" t="n">
        <v>0</v>
      </c>
      <c r="K513" t="inlineStr"/>
      <c r="L513" t="n">
        <v>0.94529</v>
      </c>
      <c r="M513" t="n">
        <v>0.94529</v>
      </c>
      <c r="N513" t="inlineStr">
        <is>
          <t>Yes</t>
        </is>
      </c>
      <c r="O513" t="inlineStr">
        <is>
          <t>equal</t>
        </is>
      </c>
      <c r="P513" t="inlineStr">
        <is>
          <t>deposited</t>
        </is>
      </c>
      <c r="Q513" t="inlineStr"/>
      <c r="R513" t="inlineStr"/>
      <c r="S513">
        <f>HYPERLINK("https://helical-indexing-hi3d.streamlit.app/?emd_id=emd-36043&amp;rise=4.84&amp;twist=-0.69&amp;csym=1&amp;rise2=4.84&amp;twist2=-0.69&amp;csym2=1", "Link")</f>
        <v/>
      </c>
    </row>
    <row r="514">
      <c r="A514" t="inlineStr">
        <is>
          <t>EMD-36045</t>
        </is>
      </c>
      <c r="B514" t="inlineStr">
        <is>
          <t>amyloid</t>
        </is>
      </c>
      <c r="C514" t="n">
        <v>3.4</v>
      </c>
      <c r="D514" t="n">
        <v>4.83</v>
      </c>
      <c r="E514" t="n">
        <v>-0.6899999999999999</v>
      </c>
      <c r="F514" t="inlineStr">
        <is>
          <t>C1</t>
        </is>
      </c>
      <c r="G514" t="inlineStr">
        <is>
          <t>4.83</t>
        </is>
      </c>
      <c r="H514" t="n">
        <v>-0.6899999999999999</v>
      </c>
      <c r="I514" t="inlineStr">
        <is>
          <t>C1</t>
        </is>
      </c>
      <c r="J514" t="n">
        <v>0</v>
      </c>
      <c r="K514" t="inlineStr"/>
      <c r="L514" t="n">
        <v>0.92883</v>
      </c>
      <c r="M514" t="n">
        <v>0.92883</v>
      </c>
      <c r="N514" t="inlineStr">
        <is>
          <t>Yes</t>
        </is>
      </c>
      <c r="O514" t="inlineStr">
        <is>
          <t>equal</t>
        </is>
      </c>
      <c r="P514" t="inlineStr">
        <is>
          <t>deposited</t>
        </is>
      </c>
      <c r="Q514" t="inlineStr"/>
      <c r="R514" t="inlineStr"/>
      <c r="S514">
        <f>HYPERLINK("https://helical-indexing-hi3d.streamlit.app/?emd_id=emd-36045&amp;rise=4.83&amp;twist=-0.69&amp;csym=1&amp;rise2=4.83&amp;twist2=-0.69&amp;csym2=1", "Link")</f>
        <v/>
      </c>
    </row>
    <row r="515">
      <c r="A515" t="inlineStr">
        <is>
          <t>EMD-36202</t>
        </is>
      </c>
      <c r="B515" t="inlineStr">
        <is>
          <t>amyloid</t>
        </is>
      </c>
      <c r="C515" t="n">
        <v>3.1</v>
      </c>
      <c r="D515" t="n">
        <v>2.41</v>
      </c>
      <c r="E515" t="n">
        <v>-179.72</v>
      </c>
      <c r="F515" t="inlineStr">
        <is>
          <t>C1</t>
        </is>
      </c>
      <c r="G515" t="inlineStr">
        <is>
          <t>2.41</t>
        </is>
      </c>
      <c r="H515" t="n">
        <v>-179.72</v>
      </c>
      <c r="I515" t="inlineStr">
        <is>
          <t>C1</t>
        </is>
      </c>
      <c r="J515" t="n">
        <v>0</v>
      </c>
      <c r="K515" t="inlineStr"/>
      <c r="L515" t="n">
        <v>0.95508</v>
      </c>
      <c r="M515" t="n">
        <v>0.95508</v>
      </c>
      <c r="N515" t="inlineStr">
        <is>
          <t>Yes</t>
        </is>
      </c>
      <c r="O515" t="inlineStr">
        <is>
          <t>equal</t>
        </is>
      </c>
      <c r="P515" t="inlineStr">
        <is>
          <t>deposited</t>
        </is>
      </c>
      <c r="Q515" t="inlineStr"/>
      <c r="R515" t="inlineStr"/>
      <c r="S515">
        <f>HYPERLINK("https://helical-indexing-hi3d.streamlit.app/?emd_id=emd-36202&amp;rise=2.41&amp;twist=-179.72&amp;csym=1&amp;rise2=2.41&amp;twist2=-179.72&amp;csym2=1", "Link")</f>
        <v/>
      </c>
    </row>
    <row r="516">
      <c r="A516" t="inlineStr">
        <is>
          <t>EMD-36203</t>
        </is>
      </c>
      <c r="B516" t="inlineStr">
        <is>
          <t>amyloid</t>
        </is>
      </c>
      <c r="C516" t="n">
        <v>2.6</v>
      </c>
      <c r="D516" t="n">
        <v>2.41</v>
      </c>
      <c r="E516" t="n">
        <v>-179.72</v>
      </c>
      <c r="F516" t="inlineStr">
        <is>
          <t>C1</t>
        </is>
      </c>
      <c r="G516" t="inlineStr">
        <is>
          <t>2.41</t>
        </is>
      </c>
      <c r="H516" t="n">
        <v>-179.72</v>
      </c>
      <c r="I516" t="inlineStr">
        <is>
          <t>C1</t>
        </is>
      </c>
      <c r="J516" t="n">
        <v>0</v>
      </c>
      <c r="K516" t="inlineStr"/>
      <c r="L516" t="n">
        <v>0.9576</v>
      </c>
      <c r="M516" t="n">
        <v>0.9576</v>
      </c>
      <c r="N516" t="inlineStr">
        <is>
          <t>Yes</t>
        </is>
      </c>
      <c r="O516" t="inlineStr">
        <is>
          <t>equal</t>
        </is>
      </c>
      <c r="P516" t="inlineStr">
        <is>
          <t>deposited</t>
        </is>
      </c>
      <c r="Q516" t="inlineStr"/>
      <c r="R516" t="inlineStr"/>
      <c r="S516">
        <f>HYPERLINK("https://helical-indexing-hi3d.streamlit.app/?emd_id=emd-36203&amp;rise=2.41&amp;twist=-179.72&amp;csym=1&amp;rise2=2.41&amp;twist2=-179.72&amp;csym2=1", "Link")</f>
        <v/>
      </c>
    </row>
    <row r="517">
      <c r="A517" t="inlineStr">
        <is>
          <t>EMD-35816</t>
        </is>
      </c>
      <c r="B517" t="inlineStr">
        <is>
          <t>amyloid</t>
        </is>
      </c>
      <c r="C517" t="n">
        <v>3.71</v>
      </c>
      <c r="D517" t="n">
        <v>4.83</v>
      </c>
      <c r="E517" t="n">
        <v>-1.24</v>
      </c>
      <c r="F517" t="inlineStr">
        <is>
          <t>C1</t>
        </is>
      </c>
      <c r="G517" t="inlineStr">
        <is>
          <t>4.83</t>
        </is>
      </c>
      <c r="H517" t="n">
        <v>-1.24</v>
      </c>
      <c r="I517" t="inlineStr">
        <is>
          <t>C1</t>
        </is>
      </c>
      <c r="J517" t="n">
        <v>0</v>
      </c>
      <c r="K517" t="inlineStr"/>
      <c r="L517" t="n">
        <v>0.97751</v>
      </c>
      <c r="M517" t="n">
        <v>0.97751</v>
      </c>
      <c r="N517" t="inlineStr">
        <is>
          <t>Yes</t>
        </is>
      </c>
      <c r="O517" t="inlineStr">
        <is>
          <t>equal</t>
        </is>
      </c>
      <c r="P517" t="inlineStr">
        <is>
          <t>deposited</t>
        </is>
      </c>
      <c r="Q517" t="inlineStr"/>
      <c r="R517" t="inlineStr"/>
      <c r="S517">
        <f>HYPERLINK("https://helical-indexing-hi3d.streamlit.app/?emd_id=emd-35816&amp;rise=4.83&amp;twist=-1.24&amp;csym=1&amp;rise2=4.83&amp;twist2=-1.24&amp;csym2=1", "Link")</f>
        <v/>
      </c>
    </row>
    <row r="518">
      <c r="A518" t="inlineStr">
        <is>
          <t>EMD-35878</t>
        </is>
      </c>
      <c r="B518" t="inlineStr">
        <is>
          <t>amyloid</t>
        </is>
      </c>
      <c r="C518" t="n">
        <v>3.75</v>
      </c>
      <c r="D518" t="n">
        <v>4.83</v>
      </c>
      <c r="E518" t="n">
        <v>-1.21</v>
      </c>
      <c r="F518" t="inlineStr">
        <is>
          <t>C1</t>
        </is>
      </c>
      <c r="G518" t="inlineStr">
        <is>
          <t>4.83</t>
        </is>
      </c>
      <c r="H518" t="n">
        <v>-1.21</v>
      </c>
      <c r="I518" t="inlineStr">
        <is>
          <t>C1</t>
        </is>
      </c>
      <c r="J518" t="n">
        <v>0</v>
      </c>
      <c r="K518" t="inlineStr"/>
      <c r="L518" t="n">
        <v>0.9775199999999999</v>
      </c>
      <c r="M518" t="n">
        <v>0.9775199999999999</v>
      </c>
      <c r="N518" t="inlineStr">
        <is>
          <t>Yes</t>
        </is>
      </c>
      <c r="O518" t="inlineStr">
        <is>
          <t>equal</t>
        </is>
      </c>
      <c r="P518" t="inlineStr">
        <is>
          <t>deposited</t>
        </is>
      </c>
      <c r="Q518" t="inlineStr"/>
      <c r="R518" t="inlineStr"/>
      <c r="S518">
        <f>HYPERLINK("https://helical-indexing-hi3d.streamlit.app/?emd_id=emd-35878&amp;rise=4.83&amp;twist=-1.21&amp;csym=1&amp;rise2=4.83&amp;twist2=-1.21&amp;csym2=1", "Link")</f>
        <v/>
      </c>
    </row>
    <row r="519">
      <c r="A519" t="inlineStr">
        <is>
          <t>EMD-40419</t>
        </is>
      </c>
      <c r="B519" t="inlineStr">
        <is>
          <t>amyloid</t>
        </is>
      </c>
      <c r="C519" t="n">
        <v>3.5</v>
      </c>
      <c r="D519" t="n">
        <v>2.39</v>
      </c>
      <c r="E519" t="n">
        <v>179.77</v>
      </c>
      <c r="F519" t="inlineStr">
        <is>
          <t>C1</t>
        </is>
      </c>
      <c r="G519" t="inlineStr">
        <is>
          <t>2.39</t>
        </is>
      </c>
      <c r="H519" t="n">
        <v>179.77</v>
      </c>
      <c r="I519" t="inlineStr">
        <is>
          <t>C1</t>
        </is>
      </c>
      <c r="J519" t="n">
        <v>0</v>
      </c>
      <c r="K519" t="inlineStr"/>
      <c r="L519" t="n">
        <v>0.89463</v>
      </c>
      <c r="M519" t="n">
        <v>0.89463</v>
      </c>
      <c r="N519" t="inlineStr">
        <is>
          <t>Yes</t>
        </is>
      </c>
      <c r="O519" t="inlineStr">
        <is>
          <t>equal</t>
        </is>
      </c>
      <c r="P519" t="inlineStr">
        <is>
          <t>deposited</t>
        </is>
      </c>
      <c r="Q519" t="inlineStr"/>
      <c r="R519" t="inlineStr"/>
      <c r="S519">
        <f>HYPERLINK("https://helical-indexing-hi3d.streamlit.app/?emd_id=emd-40419&amp;rise=2.39&amp;twist=179.77&amp;csym=1&amp;rise2=2.39&amp;twist2=179.77&amp;csym2=1", "Link")</f>
        <v/>
      </c>
    </row>
    <row r="520">
      <c r="A520" t="inlineStr">
        <is>
          <t>EMD-40413</t>
        </is>
      </c>
      <c r="B520" t="inlineStr">
        <is>
          <t>amyloid</t>
        </is>
      </c>
      <c r="C520" t="n">
        <v>2.9</v>
      </c>
      <c r="D520" t="n">
        <v>4.78</v>
      </c>
      <c r="E520" t="n">
        <v>-1.04</v>
      </c>
      <c r="F520" t="inlineStr">
        <is>
          <t>C1</t>
        </is>
      </c>
      <c r="G520" t="inlineStr">
        <is>
          <t>4.78</t>
        </is>
      </c>
      <c r="H520" t="n">
        <v>-1.04</v>
      </c>
      <c r="I520" t="inlineStr">
        <is>
          <t>C1</t>
        </is>
      </c>
      <c r="J520" t="n">
        <v>0</v>
      </c>
      <c r="K520" t="inlineStr">
        <is>
          <t>z -&gt; x</t>
        </is>
      </c>
      <c r="L520" t="n">
        <v>0.93596</v>
      </c>
      <c r="M520" t="n">
        <v>0.93596</v>
      </c>
      <c r="N520" t="inlineStr">
        <is>
          <t>Yes</t>
        </is>
      </c>
      <c r="O520" t="inlineStr">
        <is>
          <t>equal</t>
        </is>
      </c>
      <c r="P520" t="inlineStr">
        <is>
          <t>deposited</t>
        </is>
      </c>
      <c r="Q520" t="inlineStr"/>
      <c r="R520" t="inlineStr"/>
      <c r="S520">
        <f>HYPERLINK("https://helical-indexing-hi3d.streamlit.app/?emd_id=emd-40413&amp;rise=4.78&amp;twist=-1.04&amp;csym=1&amp;rise2=4.78&amp;twist2=-1.04&amp;csym2=1", "Link")</f>
        <v/>
      </c>
    </row>
    <row r="521">
      <c r="A521" t="inlineStr">
        <is>
          <t>EMD-40421</t>
        </is>
      </c>
      <c r="B521" t="inlineStr">
        <is>
          <t>amyloid</t>
        </is>
      </c>
      <c r="C521" t="n">
        <v>3.8</v>
      </c>
      <c r="D521" t="n">
        <v>4.76</v>
      </c>
      <c r="E521" t="n">
        <v>-0.46</v>
      </c>
      <c r="F521" t="inlineStr">
        <is>
          <t>C2</t>
        </is>
      </c>
      <c r="G521" t="inlineStr">
        <is>
          <t>4.76</t>
        </is>
      </c>
      <c r="H521" t="n">
        <v>-0.46</v>
      </c>
      <c r="I521" t="inlineStr">
        <is>
          <t>C2</t>
        </is>
      </c>
      <c r="J521" t="n">
        <v>0</v>
      </c>
      <c r="K521" t="inlineStr"/>
      <c r="L521" t="n">
        <v>0.71308</v>
      </c>
      <c r="M521" t="n">
        <v>0.71308</v>
      </c>
      <c r="N521" t="inlineStr">
        <is>
          <t>No</t>
        </is>
      </c>
      <c r="O521" t="inlineStr">
        <is>
          <t>equal</t>
        </is>
      </c>
      <c r="P521" t="inlineStr">
        <is>
          <t>deposited</t>
        </is>
      </c>
      <c r="Q521" t="inlineStr"/>
      <c r="R521" t="inlineStr"/>
      <c r="S521">
        <f>HYPERLINK("https://helical-indexing-hi3d.streamlit.app/?emd_id=emd-40421&amp;rise=4.76&amp;twist=-0.46&amp;csym=2&amp;rise2=4.76&amp;twist2=-0.46&amp;csym2=2", "Link")</f>
        <v/>
      </c>
    </row>
    <row r="522">
      <c r="A522" t="inlineStr">
        <is>
          <t>EMD-40416</t>
        </is>
      </c>
      <c r="B522" t="inlineStr">
        <is>
          <t>amyloid</t>
        </is>
      </c>
      <c r="C522" t="n">
        <v>3.17</v>
      </c>
      <c r="D522" t="n">
        <v>2.38</v>
      </c>
      <c r="E522" t="n">
        <v>178.24</v>
      </c>
      <c r="F522" t="inlineStr">
        <is>
          <t>C1</t>
        </is>
      </c>
      <c r="G522" t="inlineStr">
        <is>
          <t>2.38</t>
        </is>
      </c>
      <c r="H522" t="n">
        <v>178.24</v>
      </c>
      <c r="I522" t="inlineStr">
        <is>
          <t>C1</t>
        </is>
      </c>
      <c r="J522" t="n">
        <v>0</v>
      </c>
      <c r="K522" t="inlineStr">
        <is>
          <t>z -&gt; x</t>
        </is>
      </c>
      <c r="L522" t="n">
        <v>0.76314</v>
      </c>
      <c r="M522" t="n">
        <v>0.76314</v>
      </c>
      <c r="N522" t="inlineStr">
        <is>
          <t>Yes</t>
        </is>
      </c>
      <c r="O522" t="inlineStr">
        <is>
          <t>equal</t>
        </is>
      </c>
      <c r="P522" t="inlineStr">
        <is>
          <t>deposited</t>
        </is>
      </c>
      <c r="Q522" t="inlineStr"/>
      <c r="R522" t="inlineStr"/>
      <c r="S522">
        <f>HYPERLINK("https://helical-indexing-hi3d.streamlit.app/?emd_id=emd-40416&amp;rise=2.38&amp;twist=178.24&amp;csym=1&amp;rise2=2.38&amp;twist2=178.24&amp;csym2=1", "Link")</f>
        <v/>
      </c>
    </row>
    <row r="523">
      <c r="A523" t="inlineStr">
        <is>
          <t>EMD-40411</t>
        </is>
      </c>
      <c r="B523" t="inlineStr">
        <is>
          <t>amyloid</t>
        </is>
      </c>
      <c r="C523" t="n">
        <v>2.9</v>
      </c>
      <c r="D523" t="n">
        <v>2.38</v>
      </c>
      <c r="E523" t="n">
        <v>179.46</v>
      </c>
      <c r="F523" t="inlineStr">
        <is>
          <t>C1</t>
        </is>
      </c>
      <c r="G523" t="inlineStr">
        <is>
          <t>2.38</t>
        </is>
      </c>
      <c r="H523" t="n">
        <v>179.46</v>
      </c>
      <c r="I523" t="inlineStr">
        <is>
          <t>C1</t>
        </is>
      </c>
      <c r="J523" t="n">
        <v>0</v>
      </c>
      <c r="K523" t="inlineStr"/>
      <c r="L523" t="n">
        <v>0.8003</v>
      </c>
      <c r="M523" t="n">
        <v>0.8003</v>
      </c>
      <c r="N523" t="inlineStr">
        <is>
          <t>Yes</t>
        </is>
      </c>
      <c r="O523" t="inlineStr">
        <is>
          <t>equal</t>
        </is>
      </c>
      <c r="P523" t="inlineStr">
        <is>
          <t>deposited</t>
        </is>
      </c>
      <c r="Q523" t="inlineStr"/>
      <c r="R523" t="inlineStr"/>
      <c r="S523">
        <f>HYPERLINK("https://helical-indexing-hi3d.streamlit.app/?emd_id=emd-40411&amp;rise=2.38&amp;twist=179.46&amp;csym=1&amp;rise2=2.38&amp;twist2=179.46&amp;csym2=1", "Link")</f>
        <v/>
      </c>
    </row>
    <row r="524">
      <c r="A524" t="inlineStr">
        <is>
          <t>EMD-17177</t>
        </is>
      </c>
      <c r="B524" t="inlineStr">
        <is>
          <t>amyloid</t>
        </is>
      </c>
      <c r="C524" t="n">
        <v>3.3</v>
      </c>
      <c r="D524" t="n">
        <v>4.79</v>
      </c>
      <c r="E524" t="n">
        <v>-2.99</v>
      </c>
      <c r="F524" t="inlineStr">
        <is>
          <t>C2</t>
        </is>
      </c>
      <c r="G524" t="inlineStr">
        <is>
          <t>4.79</t>
        </is>
      </c>
      <c r="H524" t="n">
        <v>-2.99</v>
      </c>
      <c r="I524" t="inlineStr">
        <is>
          <t>C2</t>
        </is>
      </c>
      <c r="J524" t="n">
        <v>0</v>
      </c>
      <c r="K524" t="inlineStr"/>
      <c r="L524" t="n">
        <v>0.96531</v>
      </c>
      <c r="M524" t="n">
        <v>0.96531</v>
      </c>
      <c r="N524" t="inlineStr">
        <is>
          <t>Yes</t>
        </is>
      </c>
      <c r="O524" t="inlineStr">
        <is>
          <t>equal</t>
        </is>
      </c>
      <c r="P524" t="inlineStr">
        <is>
          <t>deposited</t>
        </is>
      </c>
      <c r="Q524" t="inlineStr"/>
      <c r="R524" t="inlineStr"/>
      <c r="S524">
        <f>HYPERLINK("https://helical-indexing-hi3d.streamlit.app/?emd_id=emd-17177&amp;rise=4.79&amp;twist=-2.99&amp;csym=2&amp;rise2=4.79&amp;twist2=-2.99&amp;csym2=2", "Link")</f>
        <v/>
      </c>
    </row>
    <row r="525">
      <c r="A525" t="inlineStr">
        <is>
          <t>EMD-17173</t>
        </is>
      </c>
      <c r="B525" t="inlineStr">
        <is>
          <t>amyloid</t>
        </is>
      </c>
      <c r="C525" t="n">
        <v>3.4</v>
      </c>
      <c r="D525" t="n">
        <v>4.74</v>
      </c>
      <c r="E525" t="n">
        <v>-1.19</v>
      </c>
      <c r="F525" t="inlineStr">
        <is>
          <t>C1</t>
        </is>
      </c>
      <c r="G525" t="inlineStr">
        <is>
          <t>4.74</t>
        </is>
      </c>
      <c r="H525" t="n">
        <v>-1.19</v>
      </c>
      <c r="I525" t="inlineStr">
        <is>
          <t>C1</t>
        </is>
      </c>
      <c r="J525" t="n">
        <v>0</v>
      </c>
      <c r="K525" t="inlineStr"/>
      <c r="L525" t="n">
        <v>0.9706399999999999</v>
      </c>
      <c r="M525" t="n">
        <v>0.9706399999999999</v>
      </c>
      <c r="N525" t="inlineStr">
        <is>
          <t>Yes</t>
        </is>
      </c>
      <c r="O525" t="inlineStr">
        <is>
          <t>equal</t>
        </is>
      </c>
      <c r="P525" t="inlineStr">
        <is>
          <t>deposited</t>
        </is>
      </c>
      <c r="Q525" t="inlineStr"/>
      <c r="R525" t="inlineStr"/>
      <c r="S525">
        <f>HYPERLINK("https://helical-indexing-hi3d.streamlit.app/?emd_id=emd-17173&amp;rise=4.74&amp;twist=-1.19&amp;csym=1&amp;rise2=4.74&amp;twist2=-1.19&amp;csym2=1", "Link")</f>
        <v/>
      </c>
    </row>
    <row r="526">
      <c r="A526" t="inlineStr">
        <is>
          <t>EMD-17171</t>
        </is>
      </c>
      <c r="B526" t="inlineStr">
        <is>
          <t>amyloid</t>
        </is>
      </c>
      <c r="C526" t="n">
        <v>2</v>
      </c>
      <c r="D526" t="n">
        <v>2.37</v>
      </c>
      <c r="E526" t="n">
        <v>179.41</v>
      </c>
      <c r="F526" t="inlineStr">
        <is>
          <t>C1</t>
        </is>
      </c>
      <c r="G526" t="inlineStr">
        <is>
          <t>2.37</t>
        </is>
      </c>
      <c r="H526" t="n">
        <v>179.41</v>
      </c>
      <c r="I526" t="inlineStr">
        <is>
          <t>C1</t>
        </is>
      </c>
      <c r="J526" t="n">
        <v>0</v>
      </c>
      <c r="K526" t="inlineStr"/>
      <c r="L526" t="n">
        <v>0.96438</v>
      </c>
      <c r="M526" t="n">
        <v>0.96438</v>
      </c>
      <c r="N526" t="inlineStr">
        <is>
          <t>Yes</t>
        </is>
      </c>
      <c r="O526" t="inlineStr">
        <is>
          <t>equal</t>
        </is>
      </c>
      <c r="P526" t="inlineStr">
        <is>
          <t>deposited</t>
        </is>
      </c>
      <c r="Q526" t="inlineStr"/>
      <c r="R526" t="inlineStr"/>
      <c r="S526">
        <f>HYPERLINK("https://helical-indexing-hi3d.streamlit.app/?emd_id=emd-17171&amp;rise=2.37&amp;twist=179.41&amp;csym=1&amp;rise2=2.37&amp;twist2=179.41&amp;csym2=1", "Link")</f>
        <v/>
      </c>
    </row>
    <row r="527">
      <c r="A527" t="inlineStr">
        <is>
          <t>EMD-17179</t>
        </is>
      </c>
      <c r="B527" t="inlineStr">
        <is>
          <t>amyloid</t>
        </is>
      </c>
      <c r="C527" t="n">
        <v>3.4</v>
      </c>
      <c r="D527" t="n">
        <v>2.39</v>
      </c>
      <c r="E527" t="n">
        <v>179.36</v>
      </c>
      <c r="F527" t="inlineStr">
        <is>
          <t>C1</t>
        </is>
      </c>
      <c r="G527" t="inlineStr">
        <is>
          <t>2.39</t>
        </is>
      </c>
      <c r="H527" t="n">
        <v>179.36</v>
      </c>
      <c r="I527" t="inlineStr">
        <is>
          <t>C1</t>
        </is>
      </c>
      <c r="J527" t="n">
        <v>0</v>
      </c>
      <c r="K527" t="inlineStr"/>
      <c r="L527" t="n">
        <v>0.95556</v>
      </c>
      <c r="M527" t="n">
        <v>0.95556</v>
      </c>
      <c r="N527" t="inlineStr">
        <is>
          <t>Yes</t>
        </is>
      </c>
      <c r="O527" t="inlineStr">
        <is>
          <t>equal</t>
        </is>
      </c>
      <c r="P527" t="inlineStr">
        <is>
          <t>deposited</t>
        </is>
      </c>
      <c r="Q527" t="inlineStr"/>
      <c r="R527" t="inlineStr"/>
      <c r="S527">
        <f>HYPERLINK("https://helical-indexing-hi3d.streamlit.app/?emd_id=emd-17179&amp;rise=2.39&amp;twist=179.36&amp;csym=1&amp;rise2=2.39&amp;twist2=179.36&amp;csym2=1", "Link")</f>
        <v/>
      </c>
    </row>
    <row r="528">
      <c r="A528" t="inlineStr">
        <is>
          <t>EMD-17181</t>
        </is>
      </c>
      <c r="B528" t="inlineStr">
        <is>
          <t>amyloid</t>
        </is>
      </c>
      <c r="C528" t="n">
        <v>3.3</v>
      </c>
      <c r="D528" t="n">
        <v>2.38</v>
      </c>
      <c r="E528" t="n">
        <v>179.45</v>
      </c>
      <c r="F528" t="inlineStr">
        <is>
          <t>C1</t>
        </is>
      </c>
      <c r="G528" t="inlineStr">
        <is>
          <t>2.385591964</t>
        </is>
      </c>
      <c r="H528" t="n">
        <v>179.4579875</v>
      </c>
      <c r="I528" t="inlineStr">
        <is>
          <t>C1</t>
        </is>
      </c>
      <c r="J528" t="n">
        <v>0.007177909</v>
      </c>
      <c r="K528" t="inlineStr"/>
      <c r="L528" t="n">
        <v>0.95684</v>
      </c>
      <c r="M528" t="n">
        <v>0.96957</v>
      </c>
      <c r="N528" t="inlineStr">
        <is>
          <t>Yes</t>
        </is>
      </c>
      <c r="O528" t="inlineStr">
        <is>
          <t>improve</t>
        </is>
      </c>
      <c r="P528" t="inlineStr">
        <is>
          <t>adjusted decimals</t>
        </is>
      </c>
      <c r="Q528" t="inlineStr"/>
      <c r="R528" t="inlineStr"/>
      <c r="S528">
        <f>HYPERLINK("https://helical-indexing-hi3d.streamlit.app/?emd_id=emd-17181&amp;rise=2.385591964&amp;twist=179.4579875&amp;csym=1&amp;rise2=2.38&amp;twist2=179.45&amp;csym2=1", "Link")</f>
        <v/>
      </c>
    </row>
    <row r="529">
      <c r="A529" t="inlineStr">
        <is>
          <t>EMD-17174</t>
        </is>
      </c>
      <c r="B529" t="inlineStr">
        <is>
          <t>amyloid</t>
        </is>
      </c>
      <c r="C529" t="n">
        <v>3.2</v>
      </c>
      <c r="D529" t="n">
        <v>2.38</v>
      </c>
      <c r="E529" t="n">
        <v>179.4</v>
      </c>
      <c r="F529" t="inlineStr">
        <is>
          <t>C1</t>
        </is>
      </c>
      <c r="G529" t="inlineStr">
        <is>
          <t>2.38</t>
        </is>
      </c>
      <c r="H529" t="n">
        <v>179.4</v>
      </c>
      <c r="I529" t="inlineStr">
        <is>
          <t>C1</t>
        </is>
      </c>
      <c r="J529" t="n">
        <v>0</v>
      </c>
      <c r="K529" t="inlineStr"/>
      <c r="L529" t="n">
        <v>0.96978</v>
      </c>
      <c r="M529" t="n">
        <v>0.96978</v>
      </c>
      <c r="N529" t="inlineStr">
        <is>
          <t>Yes</t>
        </is>
      </c>
      <c r="O529" t="inlineStr">
        <is>
          <t>equal</t>
        </is>
      </c>
      <c r="P529" t="inlineStr">
        <is>
          <t>deposited</t>
        </is>
      </c>
      <c r="Q529" t="inlineStr"/>
      <c r="R529" t="inlineStr"/>
      <c r="S529">
        <f>HYPERLINK("https://helical-indexing-hi3d.streamlit.app/?emd_id=emd-17174&amp;rise=2.38&amp;twist=179.4&amp;csym=1&amp;rise2=2.38&amp;twist2=179.4&amp;csym2=1", "Link")</f>
        <v/>
      </c>
    </row>
    <row r="530">
      <c r="A530" t="inlineStr">
        <is>
          <t>EMD-17180</t>
        </is>
      </c>
      <c r="B530" t="inlineStr">
        <is>
          <t>amyloid</t>
        </is>
      </c>
      <c r="C530" t="n">
        <v>2.7</v>
      </c>
      <c r="D530" t="n">
        <v>4.76</v>
      </c>
      <c r="E530" t="n">
        <v>-1.15</v>
      </c>
      <c r="F530" t="inlineStr">
        <is>
          <t>C1</t>
        </is>
      </c>
      <c r="G530" t="inlineStr">
        <is>
          <t>4.76</t>
        </is>
      </c>
      <c r="H530" t="n">
        <v>-1.15</v>
      </c>
      <c r="I530" t="inlineStr">
        <is>
          <t>C1</t>
        </is>
      </c>
      <c r="J530" t="n">
        <v>0</v>
      </c>
      <c r="K530" t="inlineStr"/>
      <c r="L530" t="n">
        <v>0.9325</v>
      </c>
      <c r="M530" t="n">
        <v>0.9325</v>
      </c>
      <c r="N530" t="inlineStr">
        <is>
          <t>Yes</t>
        </is>
      </c>
      <c r="O530" t="inlineStr">
        <is>
          <t>equal</t>
        </is>
      </c>
      <c r="P530" t="inlineStr">
        <is>
          <t>deposited</t>
        </is>
      </c>
      <c r="Q530" t="inlineStr"/>
      <c r="R530" t="inlineStr"/>
      <c r="S530">
        <f>HYPERLINK("https://helical-indexing-hi3d.streamlit.app/?emd_id=emd-17180&amp;rise=4.76&amp;twist=-1.15&amp;csym=1&amp;rise2=4.76&amp;twist2=-1.15&amp;csym2=1", "Link")</f>
        <v/>
      </c>
    </row>
    <row r="531">
      <c r="A531" t="inlineStr">
        <is>
          <t>EMD-17175</t>
        </is>
      </c>
      <c r="B531" t="inlineStr">
        <is>
          <t>amyloid</t>
        </is>
      </c>
      <c r="C531" t="n">
        <v>2.6</v>
      </c>
      <c r="D531" t="n">
        <v>4.81</v>
      </c>
      <c r="E531" t="n">
        <v>-0.4</v>
      </c>
      <c r="F531" t="inlineStr">
        <is>
          <t>C1</t>
        </is>
      </c>
      <c r="G531" t="inlineStr">
        <is>
          <t>4.81</t>
        </is>
      </c>
      <c r="H531" t="n">
        <v>-0.4</v>
      </c>
      <c r="I531" t="inlineStr">
        <is>
          <t>C1</t>
        </is>
      </c>
      <c r="J531" t="n">
        <v>0</v>
      </c>
      <c r="K531" t="inlineStr"/>
      <c r="L531" t="n">
        <v>0.96683</v>
      </c>
      <c r="M531" t="n">
        <v>0.96683</v>
      </c>
      <c r="N531" t="inlineStr">
        <is>
          <t>Yes</t>
        </is>
      </c>
      <c r="O531" t="inlineStr">
        <is>
          <t>equal</t>
        </is>
      </c>
      <c r="P531" t="inlineStr">
        <is>
          <t>deposited</t>
        </is>
      </c>
      <c r="Q531" t="inlineStr"/>
      <c r="R531" t="inlineStr"/>
      <c r="S531">
        <f>HYPERLINK("https://helical-indexing-hi3d.streamlit.app/?emd_id=emd-17175&amp;rise=4.81&amp;twist=-0.4&amp;csym=1&amp;rise2=4.81&amp;twist2=-0.4&amp;csym2=1", "Link")</f>
        <v/>
      </c>
    </row>
    <row r="532">
      <c r="A532" t="inlineStr">
        <is>
          <t>EMD-17176</t>
        </is>
      </c>
      <c r="B532" t="inlineStr">
        <is>
          <t>amyloid</t>
        </is>
      </c>
      <c r="C532" t="n">
        <v>3.6</v>
      </c>
      <c r="D532" t="n">
        <v>4.79</v>
      </c>
      <c r="E532" t="n">
        <v>-0.42</v>
      </c>
      <c r="F532" t="inlineStr">
        <is>
          <t>C1</t>
        </is>
      </c>
      <c r="G532" t="inlineStr">
        <is>
          <t>4.79</t>
        </is>
      </c>
      <c r="H532" t="n">
        <v>-0.42</v>
      </c>
      <c r="I532" t="inlineStr">
        <is>
          <t>C1</t>
        </is>
      </c>
      <c r="J532" t="n">
        <v>0</v>
      </c>
      <c r="K532" t="inlineStr"/>
      <c r="L532" t="n">
        <v>0.9706900000000001</v>
      </c>
      <c r="M532" t="n">
        <v>0.9706900000000001</v>
      </c>
      <c r="N532" t="inlineStr">
        <is>
          <t>Yes</t>
        </is>
      </c>
      <c r="O532" t="inlineStr">
        <is>
          <t>equal</t>
        </is>
      </c>
      <c r="P532" t="inlineStr">
        <is>
          <t>deposited</t>
        </is>
      </c>
      <c r="Q532" t="inlineStr"/>
      <c r="R532" t="inlineStr"/>
      <c r="S532">
        <f>HYPERLINK("https://helical-indexing-hi3d.streamlit.app/?emd_id=emd-17176&amp;rise=4.79&amp;twist=-0.42&amp;csym=1&amp;rise2=4.79&amp;twist2=-0.42&amp;csym2=1", "Link")</f>
        <v/>
      </c>
    </row>
    <row r="533">
      <c r="A533" t="inlineStr">
        <is>
          <t>EMD-17178</t>
        </is>
      </c>
      <c r="B533" t="inlineStr">
        <is>
          <t>amyloid</t>
        </is>
      </c>
      <c r="C533" t="n">
        <v>2.1</v>
      </c>
      <c r="D533" t="n">
        <v>2.39</v>
      </c>
      <c r="E533" t="n">
        <v>179.39</v>
      </c>
      <c r="F533" t="inlineStr">
        <is>
          <t>C1</t>
        </is>
      </c>
      <c r="G533" t="inlineStr">
        <is>
          <t>2.39</t>
        </is>
      </c>
      <c r="H533" t="n">
        <v>179.39</v>
      </c>
      <c r="I533" t="inlineStr">
        <is>
          <t>C1</t>
        </is>
      </c>
      <c r="J533" t="n">
        <v>0</v>
      </c>
      <c r="K533" t="inlineStr"/>
      <c r="L533" t="n">
        <v>0.94619</v>
      </c>
      <c r="M533" t="n">
        <v>0.94619</v>
      </c>
      <c r="N533" t="inlineStr">
        <is>
          <t>Yes</t>
        </is>
      </c>
      <c r="O533" t="inlineStr">
        <is>
          <t>equal</t>
        </is>
      </c>
      <c r="P533" t="inlineStr">
        <is>
          <t>deposited</t>
        </is>
      </c>
      <c r="Q533" t="inlineStr"/>
      <c r="R533" t="inlineStr"/>
      <c r="S533">
        <f>HYPERLINK("https://helical-indexing-hi3d.streamlit.app/?emd_id=emd-17178&amp;rise=2.39&amp;twist=179.39&amp;csym=1&amp;rise2=2.39&amp;twist2=179.39&amp;csym2=1", "Link")</f>
        <v/>
      </c>
    </row>
    <row r="534">
      <c r="A534" t="inlineStr">
        <is>
          <t>EMD-17111</t>
        </is>
      </c>
      <c r="B534" t="inlineStr">
        <is>
          <t>amyloid</t>
        </is>
      </c>
      <c r="C534" t="n">
        <v>3.1</v>
      </c>
      <c r="D534" t="n">
        <v>2.41</v>
      </c>
      <c r="E534" t="n">
        <v>179.62</v>
      </c>
      <c r="F534" t="inlineStr">
        <is>
          <t>C1</t>
        </is>
      </c>
      <c r="G534" t="inlineStr">
        <is>
          <t>2.41</t>
        </is>
      </c>
      <c r="H534" t="n">
        <v>179.62</v>
      </c>
      <c r="I534" t="inlineStr">
        <is>
          <t>C1</t>
        </is>
      </c>
      <c r="J534" t="n">
        <v>0</v>
      </c>
      <c r="K534" t="inlineStr"/>
      <c r="L534" t="n">
        <v>0.9499</v>
      </c>
      <c r="M534" t="n">
        <v>0.9499</v>
      </c>
      <c r="N534" t="inlineStr">
        <is>
          <t>Yes</t>
        </is>
      </c>
      <c r="O534" t="inlineStr">
        <is>
          <t>equal</t>
        </is>
      </c>
      <c r="P534" t="inlineStr">
        <is>
          <t>deposited</t>
        </is>
      </c>
      <c r="Q534" t="inlineStr"/>
      <c r="R534" t="inlineStr"/>
      <c r="S534">
        <f>HYPERLINK("https://helical-indexing-hi3d.streamlit.app/?emd_id=emd-17111&amp;rise=2.41&amp;twist=179.62&amp;csym=1&amp;rise2=2.41&amp;twist2=179.62&amp;csym2=1", "Link")</f>
        <v/>
      </c>
    </row>
    <row r="535">
      <c r="A535" t="inlineStr">
        <is>
          <t>EMD-35519</t>
        </is>
      </c>
      <c r="B535" t="inlineStr">
        <is>
          <t>amyloid</t>
        </is>
      </c>
      <c r="C535" t="n">
        <v>2.98</v>
      </c>
      <c r="D535" t="n">
        <v>4.82</v>
      </c>
      <c r="E535" t="n">
        <v>-1.06</v>
      </c>
      <c r="F535" t="inlineStr">
        <is>
          <t>C1</t>
        </is>
      </c>
      <c r="G535" t="inlineStr">
        <is>
          <t>4.82</t>
        </is>
      </c>
      <c r="H535" t="n">
        <v>-1.06</v>
      </c>
      <c r="I535" t="inlineStr">
        <is>
          <t>C1</t>
        </is>
      </c>
      <c r="J535" t="n">
        <v>0</v>
      </c>
      <c r="K535" t="inlineStr"/>
      <c r="L535" t="n">
        <v>0.91132</v>
      </c>
      <c r="M535" t="n">
        <v>0.91132</v>
      </c>
      <c r="N535" t="inlineStr">
        <is>
          <t>Yes</t>
        </is>
      </c>
      <c r="O535" t="inlineStr">
        <is>
          <t>equal</t>
        </is>
      </c>
      <c r="P535" t="inlineStr">
        <is>
          <t>deposited</t>
        </is>
      </c>
      <c r="Q535" t="inlineStr"/>
      <c r="R535" t="inlineStr"/>
      <c r="S535">
        <f>HYPERLINK("https://helical-indexing-hi3d.streamlit.app/?emd_id=emd-35519&amp;rise=4.82&amp;twist=-1.06&amp;csym=1&amp;rise2=4.82&amp;twist2=-1.06&amp;csym2=1", "Link")</f>
        <v/>
      </c>
    </row>
    <row r="536">
      <c r="A536" t="inlineStr">
        <is>
          <t>EMD-19184</t>
        </is>
      </c>
      <c r="B536" t="inlineStr">
        <is>
          <t>amyloid</t>
        </is>
      </c>
      <c r="C536" t="n">
        <v>3.3</v>
      </c>
      <c r="D536" t="n">
        <v>4.73</v>
      </c>
      <c r="E536" t="n">
        <v>-1.23</v>
      </c>
      <c r="F536" t="inlineStr">
        <is>
          <t>C1</t>
        </is>
      </c>
      <c r="G536" t="inlineStr">
        <is>
          <t>4.763796601</t>
        </is>
      </c>
      <c r="H536" t="n">
        <v>-1.157915988</v>
      </c>
      <c r="I536" t="inlineStr">
        <is>
          <t>C1</t>
        </is>
      </c>
      <c r="J536" t="n">
        <v>0.040996034</v>
      </c>
      <c r="K536" t="inlineStr"/>
      <c r="L536" t="n">
        <v>0.89771</v>
      </c>
      <c r="M536" t="n">
        <v>0.9170700000000001</v>
      </c>
      <c r="N536" t="inlineStr">
        <is>
          <t>Yes</t>
        </is>
      </c>
      <c r="O536" t="inlineStr">
        <is>
          <t>improve</t>
        </is>
      </c>
      <c r="P536" t="inlineStr">
        <is>
          <t>adjusted decimals</t>
        </is>
      </c>
      <c r="Q536" t="inlineStr"/>
      <c r="R536" t="inlineStr"/>
      <c r="S536">
        <f>HYPERLINK("https://helical-indexing-hi3d.streamlit.app/?emd_id=emd-19184&amp;rise=4.763796601&amp;twist=-1.157915988&amp;csym=1&amp;rise2=4.73&amp;twist2=-1.23&amp;csym2=1", "Link")</f>
        <v/>
      </c>
    </row>
    <row r="537">
      <c r="A537" t="inlineStr">
        <is>
          <t>EMD-18887</t>
        </is>
      </c>
      <c r="B537" t="inlineStr">
        <is>
          <t>amyloid</t>
        </is>
      </c>
      <c r="C537" t="n">
        <v>4.01</v>
      </c>
      <c r="D537" t="n">
        <v>2.46</v>
      </c>
      <c r="E537" t="n">
        <v>178.25</v>
      </c>
      <c r="F537" t="inlineStr">
        <is>
          <t>C2</t>
        </is>
      </c>
      <c r="G537" t="inlineStr">
        <is>
          <t>2.46</t>
        </is>
      </c>
      <c r="H537" t="n">
        <v>178.25</v>
      </c>
      <c r="I537" t="inlineStr">
        <is>
          <t>C1</t>
        </is>
      </c>
      <c r="J537" t="n">
        <v>0</v>
      </c>
      <c r="K537" t="inlineStr"/>
      <c r="L537" t="n">
        <v>0.62791</v>
      </c>
      <c r="M537" t="n">
        <v>0.7176</v>
      </c>
      <c r="N537" t="inlineStr">
        <is>
          <t>No</t>
        </is>
      </c>
      <c r="O537" t="inlineStr">
        <is>
          <t>improve</t>
        </is>
      </c>
      <c r="P537" t="inlineStr">
        <is>
          <t>different</t>
        </is>
      </c>
      <c r="Q537" t="inlineStr"/>
      <c r="R537" t="inlineStr"/>
      <c r="S537">
        <f>HYPERLINK("https://helical-indexing-hi3d.streamlit.app/?emd_id=emd-18887&amp;rise=2.46&amp;twist=178.25&amp;csym=1&amp;rise2=2.46&amp;twist2=178.25&amp;csym2=2", "Link")</f>
        <v/>
      </c>
    </row>
    <row r="538">
      <c r="A538" t="inlineStr">
        <is>
          <t>EMD-17239</t>
        </is>
      </c>
      <c r="B538" t="inlineStr">
        <is>
          <t>amyloid</t>
        </is>
      </c>
      <c r="C538" t="n">
        <v>3.86</v>
      </c>
      <c r="D538" t="n">
        <v>4.65</v>
      </c>
      <c r="E538" t="n">
        <v>-1.52</v>
      </c>
      <c r="F538" t="inlineStr">
        <is>
          <t>C2</t>
        </is>
      </c>
      <c r="G538" t="inlineStr">
        <is>
          <t>4.65</t>
        </is>
      </c>
      <c r="H538" t="n">
        <v>-1.52</v>
      </c>
      <c r="I538" t="inlineStr">
        <is>
          <t>C2</t>
        </is>
      </c>
      <c r="J538" t="n">
        <v>0</v>
      </c>
      <c r="K538" t="inlineStr"/>
      <c r="L538" t="n">
        <v>0.95174</v>
      </c>
      <c r="M538" t="n">
        <v>0.95174</v>
      </c>
      <c r="N538" t="inlineStr">
        <is>
          <t>Yes</t>
        </is>
      </c>
      <c r="O538" t="inlineStr">
        <is>
          <t>equal</t>
        </is>
      </c>
      <c r="P538" t="inlineStr">
        <is>
          <t>deposited</t>
        </is>
      </c>
      <c r="Q538" t="inlineStr"/>
      <c r="R538" t="inlineStr"/>
      <c r="S538">
        <f>HYPERLINK("https://helical-indexing-hi3d.streamlit.app/?emd_id=emd-17239&amp;rise=4.65&amp;twist=-1.52&amp;csym=2&amp;rise2=4.65&amp;twist2=-1.52&amp;csym2=2", "Link")</f>
        <v/>
      </c>
    </row>
    <row r="539">
      <c r="A539" t="inlineStr">
        <is>
          <t>EMD-35505</t>
        </is>
      </c>
      <c r="B539" t="inlineStr">
        <is>
          <t>amyloid</t>
        </is>
      </c>
      <c r="C539" t="n">
        <v>3.69</v>
      </c>
      <c r="D539" t="n">
        <v>4.81</v>
      </c>
      <c r="E539" t="n">
        <v>-1.09</v>
      </c>
      <c r="F539" t="inlineStr">
        <is>
          <t>C1</t>
        </is>
      </c>
      <c r="G539" t="inlineStr">
        <is>
          <t>4.81</t>
        </is>
      </c>
      <c r="H539" t="n">
        <v>-1.09</v>
      </c>
      <c r="I539" t="inlineStr">
        <is>
          <t>C1</t>
        </is>
      </c>
      <c r="J539" t="n">
        <v>0</v>
      </c>
      <c r="K539" t="inlineStr"/>
      <c r="L539" t="n">
        <v>0.94879</v>
      </c>
      <c r="M539" t="n">
        <v>0.94879</v>
      </c>
      <c r="N539" t="inlineStr">
        <is>
          <t>Yes</t>
        </is>
      </c>
      <c r="O539" t="inlineStr">
        <is>
          <t>equal</t>
        </is>
      </c>
      <c r="P539" t="inlineStr">
        <is>
          <t>deposited</t>
        </is>
      </c>
      <c r="Q539" t="inlineStr"/>
      <c r="R539" t="inlineStr"/>
      <c r="S539">
        <f>HYPERLINK("https://helical-indexing-hi3d.streamlit.app/?emd_id=emd-35505&amp;rise=4.81&amp;twist=-1.09&amp;csym=1&amp;rise2=4.81&amp;twist2=-1.09&amp;csym2=1", "Link")</f>
        <v/>
      </c>
    </row>
    <row r="540">
      <c r="A540" t="inlineStr">
        <is>
          <t>EMD-17235</t>
        </is>
      </c>
      <c r="B540" t="inlineStr">
        <is>
          <t>amyloid</t>
        </is>
      </c>
      <c r="C540" t="n">
        <v>3.75</v>
      </c>
      <c r="D540" t="n">
        <v>4.65</v>
      </c>
      <c r="E540" t="n">
        <v>-1.69</v>
      </c>
      <c r="F540" t="inlineStr">
        <is>
          <t>C1</t>
        </is>
      </c>
      <c r="G540" t="inlineStr">
        <is>
          <t>4.65</t>
        </is>
      </c>
      <c r="H540" t="n">
        <v>-1.69</v>
      </c>
      <c r="I540" t="inlineStr">
        <is>
          <t>C1</t>
        </is>
      </c>
      <c r="J540" t="n">
        <v>0</v>
      </c>
      <c r="K540" t="inlineStr"/>
      <c r="L540" t="n">
        <v>0.95439</v>
      </c>
      <c r="M540" t="n">
        <v>0.95439</v>
      </c>
      <c r="N540" t="inlineStr">
        <is>
          <t>Yes</t>
        </is>
      </c>
      <c r="O540" t="inlineStr">
        <is>
          <t>equal</t>
        </is>
      </c>
      <c r="P540" t="inlineStr">
        <is>
          <t>deposited</t>
        </is>
      </c>
      <c r="Q540" t="inlineStr"/>
      <c r="R540" t="inlineStr"/>
      <c r="S540">
        <f>HYPERLINK("https://helical-indexing-hi3d.streamlit.app/?emd_id=emd-17235&amp;rise=4.65&amp;twist=-1.69&amp;csym=1&amp;rise2=4.65&amp;twist2=-1.69&amp;csym2=1", "Link")</f>
        <v/>
      </c>
    </row>
    <row r="541">
      <c r="A541" t="inlineStr">
        <is>
          <t>EMD-35520</t>
        </is>
      </c>
      <c r="B541" t="inlineStr">
        <is>
          <t>amyloid</t>
        </is>
      </c>
      <c r="C541" t="n">
        <v>3.75</v>
      </c>
      <c r="D541" t="n">
        <v>4.79</v>
      </c>
      <c r="E541" t="n">
        <v>-1.09</v>
      </c>
      <c r="F541" t="inlineStr">
        <is>
          <t>C1</t>
        </is>
      </c>
      <c r="G541" t="inlineStr">
        <is>
          <t>4.79</t>
        </is>
      </c>
      <c r="H541" t="n">
        <v>-1.09</v>
      </c>
      <c r="I541" t="inlineStr">
        <is>
          <t>C1</t>
        </is>
      </c>
      <c r="J541" t="n">
        <v>0</v>
      </c>
      <c r="K541" t="inlineStr"/>
      <c r="L541" t="n">
        <v>0.97684</v>
      </c>
      <c r="M541" t="n">
        <v>0.97684</v>
      </c>
      <c r="N541" t="inlineStr">
        <is>
          <t>Yes</t>
        </is>
      </c>
      <c r="O541" t="inlineStr">
        <is>
          <t>equal</t>
        </is>
      </c>
      <c r="P541" t="inlineStr">
        <is>
          <t>deposited</t>
        </is>
      </c>
      <c r="Q541" t="inlineStr"/>
      <c r="R541" t="inlineStr"/>
      <c r="S541">
        <f>HYPERLINK("https://helical-indexing-hi3d.streamlit.app/?emd_id=emd-35520&amp;rise=4.79&amp;twist=-1.09&amp;csym=1&amp;rise2=4.79&amp;twist2=-1.09&amp;csym2=1", "Link")</f>
        <v/>
      </c>
    </row>
    <row r="542">
      <c r="A542" t="inlineStr">
        <is>
          <t>EMD-17223</t>
        </is>
      </c>
      <c r="B542" t="inlineStr">
        <is>
          <t>amyloid</t>
        </is>
      </c>
      <c r="C542" t="n">
        <v>3.24</v>
      </c>
      <c r="D542" t="n">
        <v>4.67</v>
      </c>
      <c r="E542" t="n">
        <v>-2.26</v>
      </c>
      <c r="F542" t="inlineStr">
        <is>
          <t>C1</t>
        </is>
      </c>
      <c r="G542" t="inlineStr">
        <is>
          <t>4.67</t>
        </is>
      </c>
      <c r="H542" t="n">
        <v>-2.26</v>
      </c>
      <c r="I542" t="inlineStr">
        <is>
          <t>C1</t>
        </is>
      </c>
      <c r="J542" t="n">
        <v>0</v>
      </c>
      <c r="K542" t="inlineStr"/>
      <c r="L542" t="n">
        <v>0.94815</v>
      </c>
      <c r="M542" t="n">
        <v>0.94815</v>
      </c>
      <c r="N542" t="inlineStr">
        <is>
          <t>Yes</t>
        </is>
      </c>
      <c r="O542" t="inlineStr">
        <is>
          <t>equal</t>
        </is>
      </c>
      <c r="P542" t="inlineStr">
        <is>
          <t>deposited</t>
        </is>
      </c>
      <c r="Q542" t="inlineStr"/>
      <c r="R542" t="inlineStr"/>
      <c r="S542">
        <f>HYPERLINK("https://helical-indexing-hi3d.streamlit.app/?emd_id=emd-17223&amp;rise=4.67&amp;twist=-2.26&amp;csym=1&amp;rise2=4.67&amp;twist2=-2.26&amp;csym2=1", "Link")</f>
        <v/>
      </c>
    </row>
    <row r="543">
      <c r="A543" t="inlineStr">
        <is>
          <t>EMD-17218</t>
        </is>
      </c>
      <c r="B543" t="inlineStr">
        <is>
          <t>amyloid</t>
        </is>
      </c>
      <c r="C543" t="n">
        <v>2.88</v>
      </c>
      <c r="D543" t="n">
        <v>2.35</v>
      </c>
      <c r="E543" t="n">
        <v>179.63</v>
      </c>
      <c r="F543" t="inlineStr">
        <is>
          <t>C1</t>
        </is>
      </c>
      <c r="G543" t="inlineStr">
        <is>
          <t>2.35</t>
        </is>
      </c>
      <c r="H543" t="n">
        <v>179.63</v>
      </c>
      <c r="I543" t="inlineStr">
        <is>
          <t>C1</t>
        </is>
      </c>
      <c r="J543" t="n">
        <v>0</v>
      </c>
      <c r="K543" t="inlineStr"/>
      <c r="L543" t="n">
        <v>0.94507</v>
      </c>
      <c r="M543" t="n">
        <v>0.94507</v>
      </c>
      <c r="N543" t="inlineStr">
        <is>
          <t>Yes</t>
        </is>
      </c>
      <c r="O543" t="inlineStr">
        <is>
          <t>equal</t>
        </is>
      </c>
      <c r="P543" t="inlineStr">
        <is>
          <t>deposited</t>
        </is>
      </c>
      <c r="Q543" t="inlineStr"/>
      <c r="R543" t="inlineStr"/>
      <c r="S543">
        <f>HYPERLINK("https://helical-indexing-hi3d.streamlit.app/?emd_id=emd-17218&amp;rise=2.35&amp;twist=179.63&amp;csym=1&amp;rise2=2.35&amp;twist2=179.63&amp;csym2=1", "Link")</f>
        <v/>
      </c>
    </row>
    <row r="544">
      <c r="A544" t="inlineStr">
        <is>
          <t>EMD-17234</t>
        </is>
      </c>
      <c r="B544" t="inlineStr">
        <is>
          <t>amyloid</t>
        </is>
      </c>
      <c r="C544" t="n">
        <v>3.28</v>
      </c>
      <c r="D544" t="n">
        <v>4.67</v>
      </c>
      <c r="E544" t="n">
        <v>-2.07</v>
      </c>
      <c r="F544" t="inlineStr">
        <is>
          <t>C1</t>
        </is>
      </c>
      <c r="G544" t="inlineStr">
        <is>
          <t>4.67</t>
        </is>
      </c>
      <c r="H544" t="n">
        <v>-2.07</v>
      </c>
      <c r="I544" t="inlineStr">
        <is>
          <t>C1</t>
        </is>
      </c>
      <c r="J544" t="n">
        <v>0</v>
      </c>
      <c r="K544" t="inlineStr"/>
      <c r="L544" t="n">
        <v>0.94894</v>
      </c>
      <c r="M544" t="n">
        <v>0.94894</v>
      </c>
      <c r="N544" t="inlineStr">
        <is>
          <t>Yes</t>
        </is>
      </c>
      <c r="O544" t="inlineStr">
        <is>
          <t>equal</t>
        </is>
      </c>
      <c r="P544" t="inlineStr">
        <is>
          <t>deposited</t>
        </is>
      </c>
      <c r="Q544" t="inlineStr"/>
      <c r="R544" t="inlineStr"/>
      <c r="S544">
        <f>HYPERLINK("https://helical-indexing-hi3d.streamlit.app/?emd_id=emd-17234&amp;rise=4.67&amp;twist=-2.07&amp;csym=1&amp;rise2=4.67&amp;twist2=-2.07&amp;csym2=1", "Link")</f>
        <v/>
      </c>
    </row>
    <row r="545">
      <c r="A545" t="inlineStr">
        <is>
          <t>EMD-35508</t>
        </is>
      </c>
      <c r="B545" t="inlineStr">
        <is>
          <t>amyloid</t>
        </is>
      </c>
      <c r="C545" t="n">
        <v>3.71</v>
      </c>
      <c r="D545" t="n">
        <v>2.4</v>
      </c>
      <c r="E545" t="n">
        <v>179.55</v>
      </c>
      <c r="F545" t="inlineStr">
        <is>
          <t>C1</t>
        </is>
      </c>
      <c r="G545" t="inlineStr">
        <is>
          <t>2.4</t>
        </is>
      </c>
      <c r="H545" t="n">
        <v>179.55</v>
      </c>
      <c r="I545" t="inlineStr">
        <is>
          <t>C1</t>
        </is>
      </c>
      <c r="J545" t="n">
        <v>0</v>
      </c>
      <c r="K545" t="inlineStr"/>
      <c r="L545" t="n">
        <v>0.95694</v>
      </c>
      <c r="M545" t="n">
        <v>0.95694</v>
      </c>
      <c r="N545" t="inlineStr">
        <is>
          <t>Yes</t>
        </is>
      </c>
      <c r="O545" t="inlineStr">
        <is>
          <t>equal</t>
        </is>
      </c>
      <c r="P545" t="inlineStr">
        <is>
          <t>deposited</t>
        </is>
      </c>
      <c r="Q545" t="inlineStr"/>
      <c r="R545" t="inlineStr"/>
      <c r="S545">
        <f>HYPERLINK("https://helical-indexing-hi3d.streamlit.app/?emd_id=emd-35508&amp;rise=2.4&amp;twist=179.55&amp;csym=1&amp;rise2=2.4&amp;twist2=179.55&amp;csym2=1", "Link")</f>
        <v/>
      </c>
    </row>
    <row r="546">
      <c r="A546" t="inlineStr">
        <is>
          <t>EMD-17238</t>
        </is>
      </c>
      <c r="B546" t="inlineStr">
        <is>
          <t>amyloid</t>
        </is>
      </c>
      <c r="C546" t="n">
        <v>3.75</v>
      </c>
      <c r="D546" t="n">
        <v>2.32</v>
      </c>
      <c r="E546" t="n">
        <v>179.27</v>
      </c>
      <c r="F546" t="inlineStr">
        <is>
          <t>C1</t>
        </is>
      </c>
      <c r="G546" t="inlineStr">
        <is>
          <t>2.32</t>
        </is>
      </c>
      <c r="H546" t="n">
        <v>179.27</v>
      </c>
      <c r="I546" t="inlineStr">
        <is>
          <t>C1</t>
        </is>
      </c>
      <c r="J546" t="n">
        <v>0</v>
      </c>
      <c r="K546" t="inlineStr"/>
      <c r="L546" t="n">
        <v>0.95002</v>
      </c>
      <c r="M546" t="n">
        <v>0.95002</v>
      </c>
      <c r="N546" t="inlineStr">
        <is>
          <t>Yes</t>
        </is>
      </c>
      <c r="O546" t="inlineStr">
        <is>
          <t>equal</t>
        </is>
      </c>
      <c r="P546" t="inlineStr">
        <is>
          <t>deposited</t>
        </is>
      </c>
      <c r="Q546" t="inlineStr"/>
      <c r="R546" t="inlineStr"/>
      <c r="S546">
        <f>HYPERLINK("https://helical-indexing-hi3d.streamlit.app/?emd_id=emd-17238&amp;rise=2.32&amp;twist=179.27&amp;csym=1&amp;rise2=2.32&amp;twist2=179.27&amp;csym2=1", "Link")</f>
        <v/>
      </c>
    </row>
    <row r="547">
      <c r="A547" t="inlineStr">
        <is>
          <t>EMD-16572</t>
        </is>
      </c>
      <c r="B547" t="inlineStr">
        <is>
          <t>non-amyloid</t>
        </is>
      </c>
      <c r="C547" t="n">
        <v>1.85</v>
      </c>
      <c r="D547" t="n">
        <v>1.39851</v>
      </c>
      <c r="E547" t="n">
        <v>22.0177</v>
      </c>
      <c r="F547" t="inlineStr">
        <is>
          <t>C1</t>
        </is>
      </c>
      <c r="G547" t="inlineStr">
        <is>
          <t>1.39851</t>
        </is>
      </c>
      <c r="H547" t="n">
        <v>22.0177</v>
      </c>
      <c r="I547" t="inlineStr">
        <is>
          <t>C1</t>
        </is>
      </c>
      <c r="J547" t="n">
        <v>0</v>
      </c>
      <c r="K547" t="inlineStr"/>
      <c r="L547" t="n">
        <v>0.791808629</v>
      </c>
      <c r="M547" t="n">
        <v>0.791808629</v>
      </c>
      <c r="N547" t="inlineStr">
        <is>
          <t>Yes</t>
        </is>
      </c>
      <c r="O547" t="inlineStr">
        <is>
          <t>equal</t>
        </is>
      </c>
      <c r="P547" t="inlineStr">
        <is>
          <t>deposited</t>
        </is>
      </c>
      <c r="Q547" t="inlineStr"/>
      <c r="R547" t="inlineStr"/>
      <c r="S547">
        <f>HYPERLINK("https://helical-indexing-hi3d.streamlit.app/?emd_id=emd-16572&amp;rise=1.39851&amp;twist=22.0177&amp;csym=1&amp;rise2=1.39851&amp;twist2=22.0177&amp;csym2=1", "Link")</f>
        <v/>
      </c>
    </row>
    <row r="548">
      <c r="A548" t="inlineStr">
        <is>
          <t>EMD-10129</t>
        </is>
      </c>
      <c r="B548" t="inlineStr">
        <is>
          <t>non-amyloid</t>
        </is>
      </c>
      <c r="C548" t="n">
        <v>1.9</v>
      </c>
      <c r="D548" t="n">
        <v>1.406</v>
      </c>
      <c r="E548" t="n">
        <v>22.038</v>
      </c>
      <c r="F548" t="inlineStr">
        <is>
          <t>C1</t>
        </is>
      </c>
      <c r="G548" t="inlineStr">
        <is>
          <t>1.406</t>
        </is>
      </c>
      <c r="H548" t="n">
        <v>22.038</v>
      </c>
      <c r="I548" t="inlineStr">
        <is>
          <t>C1</t>
        </is>
      </c>
      <c r="J548" t="n">
        <v>0</v>
      </c>
      <c r="K548" t="inlineStr"/>
      <c r="L548" t="n">
        <v>0.880509961</v>
      </c>
      <c r="M548" t="n">
        <v>0.880509961</v>
      </c>
      <c r="N548" t="inlineStr">
        <is>
          <t>Yes</t>
        </is>
      </c>
      <c r="O548" t="inlineStr">
        <is>
          <t>equal</t>
        </is>
      </c>
      <c r="P548" t="inlineStr">
        <is>
          <t>deposited</t>
        </is>
      </c>
      <c r="Q548" t="inlineStr"/>
      <c r="R548" t="inlineStr"/>
      <c r="S548">
        <f>HYPERLINK("https://helical-indexing-hi3d.streamlit.app/?emd_id=emd-10129&amp;rise=1.406&amp;twist=22.038&amp;csym=1&amp;rise2=1.406&amp;twist2=22.038&amp;csym2=1", "Link")</f>
        <v/>
      </c>
    </row>
    <row r="549">
      <c r="A549" t="inlineStr">
        <is>
          <t>EMD-4628</t>
        </is>
      </c>
      <c r="B549" t="inlineStr">
        <is>
          <t>non-amyloid</t>
        </is>
      </c>
      <c r="C549" t="n">
        <v>1.92</v>
      </c>
      <c r="D549" t="n">
        <v>1.41</v>
      </c>
      <c r="E549" t="n">
        <v>22.03</v>
      </c>
      <c r="F549" t="inlineStr">
        <is>
          <t>C1</t>
        </is>
      </c>
      <c r="G549" t="inlineStr">
        <is>
          <t>1.41</t>
        </is>
      </c>
      <c r="H549" t="n">
        <v>22.03</v>
      </c>
      <c r="I549" t="inlineStr">
        <is>
          <t>C1</t>
        </is>
      </c>
      <c r="J549" t="n">
        <v>0</v>
      </c>
      <c r="K549" t="inlineStr"/>
      <c r="L549" t="n">
        <v>0.829660431</v>
      </c>
      <c r="M549" t="n">
        <v>0.829660431</v>
      </c>
      <c r="N549" t="inlineStr">
        <is>
          <t>Yes</t>
        </is>
      </c>
      <c r="O549" t="inlineStr">
        <is>
          <t>equal</t>
        </is>
      </c>
      <c r="P549" t="inlineStr">
        <is>
          <t>deposited</t>
        </is>
      </c>
      <c r="Q549" t="inlineStr"/>
      <c r="R549" t="inlineStr"/>
      <c r="S549">
        <f>HYPERLINK("https://helical-indexing-hi3d.streamlit.app/?emd_id=emd-4628&amp;rise=1.41&amp;twist=22.03&amp;csym=1&amp;rise2=1.41&amp;twist2=22.03&amp;csym2=1", "Link")</f>
        <v/>
      </c>
    </row>
    <row r="550">
      <c r="A550" t="inlineStr">
        <is>
          <t>EMD-12775</t>
        </is>
      </c>
      <c r="B550" t="inlineStr">
        <is>
          <t>non-amyloid</t>
        </is>
      </c>
      <c r="C550" t="n">
        <v>2</v>
      </c>
      <c r="D550" t="n">
        <v>25.1</v>
      </c>
      <c r="E550" t="n">
        <v>15.75</v>
      </c>
      <c r="F550" t="inlineStr">
        <is>
          <t>C2</t>
        </is>
      </c>
      <c r="G550" t="inlineStr">
        <is>
          <t>25.16230578</t>
        </is>
      </c>
      <c r="H550" t="n">
        <v>15.79950014</v>
      </c>
      <c r="I550" t="inlineStr">
        <is>
          <t>C2</t>
        </is>
      </c>
      <c r="J550" t="n">
        <v>0.066512902</v>
      </c>
      <c r="K550" t="inlineStr"/>
      <c r="L550" t="n">
        <v>0.90166</v>
      </c>
      <c r="M550" t="n">
        <v>0.908027647</v>
      </c>
      <c r="N550" t="inlineStr">
        <is>
          <t>Yes</t>
        </is>
      </c>
      <c r="O550" t="inlineStr">
        <is>
          <t>improve</t>
        </is>
      </c>
      <c r="P550" t="inlineStr">
        <is>
          <t>adjusted decimals</t>
        </is>
      </c>
      <c r="Q550" t="inlineStr"/>
      <c r="R550" t="inlineStr"/>
      <c r="S550">
        <f>HYPERLINK("https://helical-indexing-hi3d.streamlit.app/?emd_id=emd-12775&amp;rise=25.16230578&amp;twist=15.79950014&amp;csym=2&amp;rise2=25.1&amp;twist2=15.75&amp;csym2=2", "Link")</f>
        <v/>
      </c>
    </row>
    <row r="551">
      <c r="A551" t="inlineStr">
        <is>
          <t>EMD-10130</t>
        </is>
      </c>
      <c r="B551" t="inlineStr">
        <is>
          <t>non-amyloid</t>
        </is>
      </c>
      <c r="C551" t="n">
        <v>2</v>
      </c>
      <c r="D551" t="n">
        <v>1.405</v>
      </c>
      <c r="E551" t="n">
        <v>22.036</v>
      </c>
      <c r="F551" t="inlineStr">
        <is>
          <t>C1</t>
        </is>
      </c>
      <c r="G551" t="inlineStr">
        <is>
          <t>1.405</t>
        </is>
      </c>
      <c r="H551" t="n">
        <v>22.036</v>
      </c>
      <c r="I551" t="inlineStr">
        <is>
          <t>C1</t>
        </is>
      </c>
      <c r="J551" t="n">
        <v>0</v>
      </c>
      <c r="K551" t="inlineStr"/>
      <c r="L551" t="n">
        <v>0.854035424</v>
      </c>
      <c r="M551" t="n">
        <v>0.854035424</v>
      </c>
      <c r="N551" t="inlineStr">
        <is>
          <t>Yes</t>
        </is>
      </c>
      <c r="O551" t="inlineStr">
        <is>
          <t>equal</t>
        </is>
      </c>
      <c r="P551" t="inlineStr">
        <is>
          <t>deposited</t>
        </is>
      </c>
      <c r="Q551" t="inlineStr"/>
      <c r="R551" t="inlineStr"/>
      <c r="S551">
        <f>HYPERLINK("https://helical-indexing-hi3d.streamlit.app/?emd_id=emd-10130&amp;rise=1.405&amp;twist=22.036&amp;csym=1&amp;rise2=1.405&amp;twist2=22.036&amp;csym2=1", "Link")</f>
        <v/>
      </c>
    </row>
    <row r="552">
      <c r="A552" t="inlineStr">
        <is>
          <t>EMD-4740</t>
        </is>
      </c>
      <c r="B552" t="inlineStr">
        <is>
          <t>non-amyloid</t>
        </is>
      </c>
      <c r="C552" t="n">
        <v>2.2</v>
      </c>
      <c r="D552" t="n">
        <v>3.96</v>
      </c>
      <c r="E552" t="n">
        <v>40.5</v>
      </c>
      <c r="F552" t="inlineStr">
        <is>
          <t>C1</t>
        </is>
      </c>
      <c r="G552" t="inlineStr"/>
      <c r="H552" t="inlineStr"/>
      <c r="I552" t="inlineStr">
        <is>
          <t>Cnan</t>
        </is>
      </c>
      <c r="J552" t="inlineStr"/>
      <c r="K552" t="inlineStr"/>
      <c r="L552" t="n">
        <v>0.09202</v>
      </c>
      <c r="M552" t="n">
        <v>0.6111765179999999</v>
      </c>
      <c r="N552" t="inlineStr">
        <is>
          <t>Excluded</t>
        </is>
      </c>
      <c r="O552" t="inlineStr">
        <is>
          <t>improve</t>
        </is>
      </c>
      <c r="P552" t="inlineStr">
        <is>
          <t>focus reconstruction</t>
        </is>
      </c>
      <c r="Q552" t="inlineStr"/>
      <c r="R552" t="inlineStr"/>
      <c r="S552">
        <f>HYPERLINK("https://helical-indexing-hi3d.streamlit.app/?emd_id=emd-4740&amp;rise=nan&amp;twist=nan&amp;csym=nan&amp;rise2=3.96&amp;twist2=40.5&amp;csym2=1", "Link")</f>
        <v/>
      </c>
    </row>
    <row r="553">
      <c r="A553" t="inlineStr">
        <is>
          <t>EMD-26963</t>
        </is>
      </c>
      <c r="B553" t="inlineStr">
        <is>
          <t>non-amyloid</t>
        </is>
      </c>
      <c r="C553" t="n">
        <v>2.2</v>
      </c>
      <c r="D553" t="n">
        <v>2.34</v>
      </c>
      <c r="E553" t="n">
        <v>16.33</v>
      </c>
      <c r="F553" t="inlineStr">
        <is>
          <t>C7</t>
        </is>
      </c>
      <c r="G553" t="inlineStr">
        <is>
          <t>2.34</t>
        </is>
      </c>
      <c r="H553" t="n">
        <v>16.33</v>
      </c>
      <c r="I553" t="inlineStr">
        <is>
          <t>C7</t>
        </is>
      </c>
      <c r="J553" t="n">
        <v>0</v>
      </c>
      <c r="K553" t="inlineStr"/>
      <c r="L553" t="n">
        <v>0.90091</v>
      </c>
      <c r="M553" t="n">
        <v>0.90091</v>
      </c>
      <c r="N553" t="inlineStr">
        <is>
          <t>Yes</t>
        </is>
      </c>
      <c r="O553" t="inlineStr">
        <is>
          <t>equal</t>
        </is>
      </c>
      <c r="P553" t="inlineStr">
        <is>
          <t>deposited</t>
        </is>
      </c>
      <c r="Q553" t="inlineStr"/>
      <c r="R553" t="inlineStr"/>
      <c r="S553">
        <f>HYPERLINK("https://helical-indexing-hi3d.streamlit.app/?emd_id=emd-26963&amp;rise=2.34&amp;twist=16.33&amp;csym=7&amp;rise2=2.34&amp;twist2=16.33&amp;csym2=7", "Link")</f>
        <v/>
      </c>
    </row>
    <row r="554">
      <c r="A554" t="inlineStr">
        <is>
          <t>EMD-28932</t>
        </is>
      </c>
      <c r="B554" t="inlineStr">
        <is>
          <t>non-amyloid</t>
        </is>
      </c>
      <c r="C554" t="n">
        <v>2.26</v>
      </c>
      <c r="D554" t="n">
        <v>27.8</v>
      </c>
      <c r="E554" t="n">
        <v>-166.7</v>
      </c>
      <c r="F554" t="inlineStr">
        <is>
          <t>C1</t>
        </is>
      </c>
      <c r="G554" t="inlineStr">
        <is>
          <t>55.64733057</t>
        </is>
      </c>
      <c r="H554" t="n">
        <v>26.62560232</v>
      </c>
      <c r="I554" t="inlineStr">
        <is>
          <t>C1</t>
        </is>
      </c>
      <c r="J554" t="n">
        <v>37.85633259727726</v>
      </c>
      <c r="K554" t="inlineStr"/>
      <c r="L554" t="n">
        <v>0.9411</v>
      </c>
      <c r="M554" t="n">
        <v>0.951199129</v>
      </c>
      <c r="N554" t="inlineStr">
        <is>
          <t>Yes</t>
        </is>
      </c>
      <c r="O554" t="inlineStr">
        <is>
          <t>improve</t>
        </is>
      </c>
      <c r="P554" t="inlineStr">
        <is>
          <t>different</t>
        </is>
      </c>
      <c r="Q554" t="inlineStr">
        <is>
          <t>partial symmetry</t>
        </is>
      </c>
      <c r="R554" t="inlineStr"/>
      <c r="S554">
        <f>HYPERLINK("https://helical-indexing-hi3d.streamlit.app/?emd_id=emd-28932&amp;rise=55.64733057&amp;twist=26.62560232&amp;csym=1&amp;rise2=27.8&amp;twist2=-166.7&amp;csym2=1", "Link")</f>
        <v/>
      </c>
    </row>
    <row r="555">
      <c r="A555" t="inlineStr">
        <is>
          <t>EMD-4413</t>
        </is>
      </c>
      <c r="B555" t="inlineStr">
        <is>
          <t>non-amyloid</t>
        </is>
      </c>
      <c r="C555" t="n">
        <v>2.3</v>
      </c>
      <c r="D555" t="n">
        <v>1.39615</v>
      </c>
      <c r="E555" t="n">
        <v>22.037</v>
      </c>
      <c r="F555" t="inlineStr">
        <is>
          <t>C1</t>
        </is>
      </c>
      <c r="G555" t="inlineStr">
        <is>
          <t>1.39615</t>
        </is>
      </c>
      <c r="H555" t="n">
        <v>22.037</v>
      </c>
      <c r="I555" t="inlineStr">
        <is>
          <t>C1</t>
        </is>
      </c>
      <c r="J555" t="n">
        <v>0</v>
      </c>
      <c r="K555" t="inlineStr"/>
      <c r="L555" t="n">
        <v>0.844026825</v>
      </c>
      <c r="M555" t="n">
        <v>0.844026825</v>
      </c>
      <c r="N555" t="inlineStr">
        <is>
          <t>Yes</t>
        </is>
      </c>
      <c r="O555" t="inlineStr">
        <is>
          <t>equal</t>
        </is>
      </c>
      <c r="P555" t="inlineStr">
        <is>
          <t>deposited</t>
        </is>
      </c>
      <c r="Q555" t="inlineStr"/>
      <c r="R555" t="inlineStr"/>
      <c r="S555">
        <f>HYPERLINK("https://helical-indexing-hi3d.streamlit.app/?emd_id=emd-4413&amp;rise=1.39615&amp;twist=22.037&amp;csym=1&amp;rise2=1.39615&amp;twist2=22.037&amp;csym2=1", "Link")</f>
        <v/>
      </c>
    </row>
    <row r="556">
      <c r="A556" t="inlineStr">
        <is>
          <t>EMD-4928</t>
        </is>
      </c>
      <c r="B556" t="inlineStr">
        <is>
          <t>non-amyloid</t>
        </is>
      </c>
      <c r="C556" t="n">
        <v>2.3</v>
      </c>
      <c r="D556" t="n">
        <v>1.41</v>
      </c>
      <c r="E556" t="n">
        <v>22.04</v>
      </c>
      <c r="F556" t="inlineStr">
        <is>
          <t>C1</t>
        </is>
      </c>
      <c r="G556" t="inlineStr">
        <is>
          <t>1.41</t>
        </is>
      </c>
      <c r="H556" t="n">
        <v>22.04</v>
      </c>
      <c r="I556" t="inlineStr">
        <is>
          <t>C1</t>
        </is>
      </c>
      <c r="J556" t="n">
        <v>0</v>
      </c>
      <c r="K556" t="inlineStr"/>
      <c r="L556" t="n">
        <v>0.88913</v>
      </c>
      <c r="M556" t="n">
        <v>0.88913</v>
      </c>
      <c r="N556" t="inlineStr">
        <is>
          <t>Yes</t>
        </is>
      </c>
      <c r="O556" t="inlineStr">
        <is>
          <t>equal</t>
        </is>
      </c>
      <c r="P556" t="inlineStr">
        <is>
          <t>deposited</t>
        </is>
      </c>
      <c r="Q556" t="inlineStr"/>
      <c r="R556" t="inlineStr"/>
      <c r="S556">
        <f>HYPERLINK("https://helical-indexing-hi3d.streamlit.app/?emd_id=emd-4928&amp;rise=1.41&amp;twist=22.04&amp;csym=1&amp;rise2=1.41&amp;twist2=22.04&amp;csym2=1", "Link")</f>
        <v/>
      </c>
    </row>
    <row r="557">
      <c r="A557" t="inlineStr">
        <is>
          <t>EMD-11735</t>
        </is>
      </c>
      <c r="B557" t="inlineStr">
        <is>
          <t>non-amyloid</t>
        </is>
      </c>
      <c r="C557" t="n">
        <v>2.4</v>
      </c>
      <c r="D557" t="n">
        <v>40.8</v>
      </c>
      <c r="E557" t="n">
        <v>20.54</v>
      </c>
      <c r="F557" t="inlineStr">
        <is>
          <t>C6</t>
        </is>
      </c>
      <c r="G557" t="inlineStr">
        <is>
          <t>40.8</t>
        </is>
      </c>
      <c r="H557" t="n">
        <v>20.54</v>
      </c>
      <c r="I557" t="inlineStr">
        <is>
          <t>C6</t>
        </is>
      </c>
      <c r="J557" t="n">
        <v>0</v>
      </c>
      <c r="K557" t="inlineStr"/>
      <c r="L557" t="n">
        <v>0.893100557</v>
      </c>
      <c r="M557" t="n">
        <v>0.893100557</v>
      </c>
      <c r="N557" t="inlineStr">
        <is>
          <t>Yes</t>
        </is>
      </c>
      <c r="O557" t="inlineStr">
        <is>
          <t>equal</t>
        </is>
      </c>
      <c r="P557" t="inlineStr">
        <is>
          <t>deposited</t>
        </is>
      </c>
      <c r="Q557" t="inlineStr"/>
      <c r="R557" t="inlineStr"/>
      <c r="S557">
        <f>HYPERLINK("https://helical-indexing-hi3d.streamlit.app/?emd_id=emd-11735&amp;rise=40.8&amp;twist=20.54&amp;csym=6&amp;rise2=40.8&amp;twist2=20.54&amp;csym2=6", "Link")</f>
        <v/>
      </c>
    </row>
    <row r="558">
      <c r="A558" t="inlineStr">
        <is>
          <t>EMD-41924</t>
        </is>
      </c>
      <c r="B558" t="inlineStr">
        <is>
          <t>non-amyloid</t>
        </is>
      </c>
      <c r="C558" t="n">
        <v>2.4</v>
      </c>
      <c r="D558" t="n">
        <v>1.407</v>
      </c>
      <c r="E558" t="n">
        <v>22.03</v>
      </c>
      <c r="F558" t="inlineStr">
        <is>
          <t>C1</t>
        </is>
      </c>
      <c r="G558" t="inlineStr">
        <is>
          <t>1.407</t>
        </is>
      </c>
      <c r="H558" t="n">
        <v>22.03</v>
      </c>
      <c r="I558" t="inlineStr">
        <is>
          <t>C1</t>
        </is>
      </c>
      <c r="J558" t="n">
        <v>0</v>
      </c>
      <c r="K558" t="inlineStr"/>
      <c r="L558" t="n">
        <v>0.961779244</v>
      </c>
      <c r="M558" t="n">
        <v>0.961779244</v>
      </c>
      <c r="N558" t="inlineStr">
        <is>
          <t>Yes</t>
        </is>
      </c>
      <c r="O558" t="inlineStr">
        <is>
          <t>equal</t>
        </is>
      </c>
      <c r="P558" t="inlineStr">
        <is>
          <t>deposited</t>
        </is>
      </c>
      <c r="Q558" t="inlineStr"/>
      <c r="R558" t="inlineStr"/>
      <c r="S558">
        <f>HYPERLINK("https://helical-indexing-hi3d.streamlit.app/?emd_id=emd-41924&amp;rise=1.407&amp;twist=22.03&amp;csym=1&amp;rise2=1.407&amp;twist2=22.03&amp;csym2=1", "Link")</f>
        <v/>
      </c>
    </row>
    <row r="559">
      <c r="A559" t="inlineStr">
        <is>
          <t>EMD-26962</t>
        </is>
      </c>
      <c r="B559" t="inlineStr">
        <is>
          <t>non-amyloid</t>
        </is>
      </c>
      <c r="C559" t="n">
        <v>2.4</v>
      </c>
      <c r="D559" t="n">
        <v>2.35</v>
      </c>
      <c r="E559" t="n">
        <v>16.35</v>
      </c>
      <c r="F559" t="inlineStr">
        <is>
          <t>C7</t>
        </is>
      </c>
      <c r="G559" t="inlineStr">
        <is>
          <t>2.35</t>
        </is>
      </c>
      <c r="H559" t="n">
        <v>16.35</v>
      </c>
      <c r="I559" t="inlineStr">
        <is>
          <t>C7</t>
        </is>
      </c>
      <c r="J559" t="n">
        <v>0</v>
      </c>
      <c r="K559" t="inlineStr"/>
      <c r="L559" t="n">
        <v>0.9026999999999999</v>
      </c>
      <c r="M559" t="n">
        <v>0.9026999999999999</v>
      </c>
      <c r="N559" t="inlineStr">
        <is>
          <t>Yes</t>
        </is>
      </c>
      <c r="O559" t="inlineStr">
        <is>
          <t>equal</t>
        </is>
      </c>
      <c r="P559" t="inlineStr">
        <is>
          <t>deposited</t>
        </is>
      </c>
      <c r="Q559" t="inlineStr"/>
      <c r="R559" t="inlineStr"/>
      <c r="S559">
        <f>HYPERLINK("https://helical-indexing-hi3d.streamlit.app/?emd_id=emd-26962&amp;rise=2.35&amp;twist=16.35&amp;csym=7&amp;rise2=2.35&amp;twist2=16.35&amp;csym2=7", "Link")</f>
        <v/>
      </c>
    </row>
    <row r="560">
      <c r="A560" t="inlineStr">
        <is>
          <t>EMD-17072</t>
        </is>
      </c>
      <c r="B560" t="inlineStr">
        <is>
          <t>non-amyloid</t>
        </is>
      </c>
      <c r="C560" t="n">
        <v>2.41</v>
      </c>
      <c r="D560" t="n">
        <v>4.005</v>
      </c>
      <c r="E560" t="n">
        <v>-40.997</v>
      </c>
      <c r="F560" t="inlineStr">
        <is>
          <t>C1</t>
        </is>
      </c>
      <c r="G560" t="inlineStr">
        <is>
          <t>4.005</t>
        </is>
      </c>
      <c r="H560" t="n">
        <v>-40.997</v>
      </c>
      <c r="I560" t="inlineStr">
        <is>
          <t>C1</t>
        </is>
      </c>
      <c r="J560" t="n">
        <v>0</v>
      </c>
      <c r="K560" t="inlineStr"/>
      <c r="L560" t="n">
        <v>0.96955</v>
      </c>
      <c r="M560" t="n">
        <v>0.96955</v>
      </c>
      <c r="N560" t="inlineStr">
        <is>
          <t>Yes</t>
        </is>
      </c>
      <c r="O560" t="inlineStr">
        <is>
          <t>equal</t>
        </is>
      </c>
      <c r="P560" t="inlineStr">
        <is>
          <t>deposited</t>
        </is>
      </c>
      <c r="Q560" t="inlineStr"/>
      <c r="R560" t="inlineStr"/>
      <c r="S560">
        <f>HYPERLINK("https://helical-indexing-hi3d.streamlit.app/?emd_id=emd-17072&amp;rise=4.005&amp;twist=-40.997&amp;csym=1&amp;rise2=4.005&amp;twist2=-40.997&amp;csym2=1", "Link")</f>
        <v/>
      </c>
    </row>
    <row r="561">
      <c r="A561" t="inlineStr">
        <is>
          <t>EMD-27114</t>
        </is>
      </c>
      <c r="B561" t="inlineStr">
        <is>
          <t>non-amyloid</t>
        </is>
      </c>
      <c r="C561" t="n">
        <v>2.43</v>
      </c>
      <c r="D561" t="n">
        <v>28.0687</v>
      </c>
      <c r="E561" t="n">
        <v>-166.694</v>
      </c>
      <c r="F561" t="inlineStr">
        <is>
          <t>C1</t>
        </is>
      </c>
      <c r="G561" t="inlineStr">
        <is>
          <t>28.0687</t>
        </is>
      </c>
      <c r="H561" t="n">
        <v>-166.694</v>
      </c>
      <c r="I561" t="inlineStr">
        <is>
          <t>C1</t>
        </is>
      </c>
      <c r="J561" t="n">
        <v>0</v>
      </c>
      <c r="K561" t="inlineStr"/>
      <c r="L561" t="n">
        <v>0.8755182540000001</v>
      </c>
      <c r="M561" t="n">
        <v>0.8755182540000001</v>
      </c>
      <c r="N561" t="inlineStr">
        <is>
          <t>Yes</t>
        </is>
      </c>
      <c r="O561" t="inlineStr">
        <is>
          <t>equal</t>
        </is>
      </c>
      <c r="P561" t="inlineStr">
        <is>
          <t>deposited</t>
        </is>
      </c>
      <c r="Q561" t="inlineStr"/>
      <c r="R561" t="inlineStr"/>
      <c r="S561">
        <f>HYPERLINK("https://helical-indexing-hi3d.streamlit.app/?emd_id=emd-27114&amp;rise=28.0687&amp;twist=-166.694&amp;csym=1&amp;rise2=28.0687&amp;twist2=-166.694&amp;csym2=1", "Link")</f>
        <v/>
      </c>
    </row>
    <row r="562">
      <c r="A562" t="inlineStr">
        <is>
          <t>EMD-13830</t>
        </is>
      </c>
      <c r="B562" t="inlineStr">
        <is>
          <t>non-amyloid</t>
        </is>
      </c>
      <c r="C562" t="n">
        <v>2.46</v>
      </c>
      <c r="D562" t="n">
        <v>1.04</v>
      </c>
      <c r="E562" t="n">
        <v>26.219</v>
      </c>
      <c r="F562" t="inlineStr">
        <is>
          <t>C1</t>
        </is>
      </c>
      <c r="G562" t="inlineStr">
        <is>
          <t>1.04</t>
        </is>
      </c>
      <c r="H562" t="n">
        <v>26.219</v>
      </c>
      <c r="I562" t="inlineStr">
        <is>
          <t>C1</t>
        </is>
      </c>
      <c r="J562" t="n">
        <v>0</v>
      </c>
      <c r="K562" t="inlineStr"/>
      <c r="L562" t="n">
        <v>0.942369043</v>
      </c>
      <c r="M562" t="n">
        <v>0.942369043</v>
      </c>
      <c r="N562" t="inlineStr">
        <is>
          <t>Yes</t>
        </is>
      </c>
      <c r="O562" t="inlineStr">
        <is>
          <t>equal</t>
        </is>
      </c>
      <c r="P562" t="inlineStr">
        <is>
          <t>deposited</t>
        </is>
      </c>
      <c r="Q562" t="inlineStr"/>
      <c r="R562" t="inlineStr"/>
      <c r="S562">
        <f>HYPERLINK("https://helical-indexing-hi3d.streamlit.app/?emd_id=emd-13830&amp;rise=1.04&amp;twist=26.219&amp;csym=1&amp;rise2=1.04&amp;twist2=26.219&amp;csym2=1", "Link")</f>
        <v/>
      </c>
    </row>
    <row r="563">
      <c r="A563" t="inlineStr">
        <is>
          <t>EMD-11747</t>
        </is>
      </c>
      <c r="B563" t="inlineStr">
        <is>
          <t>non-amyloid</t>
        </is>
      </c>
      <c r="C563" t="n">
        <v>2.5</v>
      </c>
      <c r="D563" t="n">
        <v>18.04</v>
      </c>
      <c r="E563" t="n">
        <v>32.2</v>
      </c>
      <c r="F563" t="inlineStr">
        <is>
          <t>C6</t>
        </is>
      </c>
      <c r="G563" t="inlineStr"/>
      <c r="H563" t="inlineStr"/>
      <c r="I563" t="inlineStr">
        <is>
          <t>Cnan</t>
        </is>
      </c>
      <c r="J563" t="inlineStr"/>
      <c r="K563" t="inlineStr"/>
      <c r="L563" t="n">
        <v>0.361059371</v>
      </c>
      <c r="M563" t="n">
        <v>0.361059371</v>
      </c>
      <c r="N563" t="inlineStr">
        <is>
          <t>Excluded</t>
        </is>
      </c>
      <c r="O563" t="inlineStr">
        <is>
          <t>equal</t>
        </is>
      </c>
      <c r="P563" t="inlineStr">
        <is>
          <t>focus reconstruction</t>
        </is>
      </c>
      <c r="Q563" t="inlineStr"/>
      <c r="R563" t="inlineStr"/>
      <c r="S563">
        <f>HYPERLINK("https://helical-indexing-hi3d.streamlit.app/?emd_id=emd-11747&amp;rise=nan&amp;twist=nan&amp;csym=nan&amp;rise2=18.04&amp;twist2=32.2&amp;csym2=6", "Link")</f>
        <v/>
      </c>
    </row>
    <row r="564">
      <c r="A564" t="inlineStr">
        <is>
          <t>EMD-27115</t>
        </is>
      </c>
      <c r="B564" t="inlineStr">
        <is>
          <t>non-amyloid</t>
        </is>
      </c>
      <c r="C564" t="n">
        <v>2.51</v>
      </c>
      <c r="D564" t="n">
        <v>27.8078</v>
      </c>
      <c r="E564" t="n">
        <v>-166.635</v>
      </c>
      <c r="F564" t="inlineStr">
        <is>
          <t>C1</t>
        </is>
      </c>
      <c r="G564" t="inlineStr">
        <is>
          <t>27.75</t>
        </is>
      </c>
      <c r="H564" t="n">
        <v>-166.07</v>
      </c>
      <c r="I564" t="inlineStr">
        <is>
          <t>C1</t>
        </is>
      </c>
      <c r="J564" t="n">
        <v>0.1680639063882505</v>
      </c>
      <c r="K564" t="inlineStr"/>
      <c r="L564" t="n">
        <v>0.746888966</v>
      </c>
      <c r="M564" t="n">
        <v>0.754013366</v>
      </c>
      <c r="N564" t="inlineStr">
        <is>
          <t>Yes</t>
        </is>
      </c>
      <c r="O564" t="inlineStr">
        <is>
          <t>improve</t>
        </is>
      </c>
      <c r="P564" t="inlineStr">
        <is>
          <t>adjusted decimals</t>
        </is>
      </c>
      <c r="Q564" t="inlineStr"/>
      <c r="R564" t="inlineStr"/>
      <c r="S564">
        <f>HYPERLINK("https://helical-indexing-hi3d.streamlit.app/?emd_id=emd-27115&amp;rise=27.75&amp;twist=-166.07&amp;csym=1&amp;rise2=27.8078&amp;twist2=-166.635&amp;csym2=1", "Link")</f>
        <v/>
      </c>
    </row>
    <row r="565">
      <c r="A565" t="inlineStr">
        <is>
          <t>EMD-15833</t>
        </is>
      </c>
      <c r="B565" t="inlineStr">
        <is>
          <t>non-amyloid</t>
        </is>
      </c>
      <c r="C565" t="n">
        <v>2.58</v>
      </c>
      <c r="D565" t="n">
        <v>16.599</v>
      </c>
      <c r="E565" t="n">
        <v>37.437</v>
      </c>
      <c r="F565" t="inlineStr">
        <is>
          <t>C5</t>
        </is>
      </c>
      <c r="G565" t="inlineStr">
        <is>
          <t>16.599</t>
        </is>
      </c>
      <c r="H565" t="n">
        <v>37.437</v>
      </c>
      <c r="I565" t="inlineStr">
        <is>
          <t>C5</t>
        </is>
      </c>
      <c r="J565" t="n">
        <v>0</v>
      </c>
      <c r="K565" t="inlineStr"/>
      <c r="L565" t="n">
        <v>0.91867</v>
      </c>
      <c r="M565" t="n">
        <v>0.91867</v>
      </c>
      <c r="N565" t="inlineStr">
        <is>
          <t>Yes</t>
        </is>
      </c>
      <c r="O565" t="inlineStr">
        <is>
          <t>equal</t>
        </is>
      </c>
      <c r="P565" t="inlineStr">
        <is>
          <t>deposited</t>
        </is>
      </c>
      <c r="Q565" t="inlineStr"/>
      <c r="R565" t="inlineStr"/>
      <c r="S565">
        <f>HYPERLINK("https://helical-indexing-hi3d.streamlit.app/?emd_id=emd-15833&amp;rise=16.599&amp;twist=37.437&amp;csym=5&amp;rise2=16.599&amp;twist2=37.437&amp;csym2=5", "Link")</f>
        <v/>
      </c>
    </row>
    <row r="566">
      <c r="A566" t="inlineStr">
        <is>
          <t>EMD-10587</t>
        </is>
      </c>
      <c r="B566" t="inlineStr">
        <is>
          <t>non-amyloid</t>
        </is>
      </c>
      <c r="C566" t="n">
        <v>2.6</v>
      </c>
      <c r="D566" t="n">
        <v>28.3692</v>
      </c>
      <c r="E566" t="n">
        <v>-167.652</v>
      </c>
      <c r="F566" t="inlineStr">
        <is>
          <t>C1</t>
        </is>
      </c>
      <c r="G566" t="inlineStr">
        <is>
          <t>28.37267802</t>
        </is>
      </c>
      <c r="H566" t="n">
        <v>-167.6457244</v>
      </c>
      <c r="I566" t="inlineStr">
        <is>
          <t>C1</t>
        </is>
      </c>
      <c r="J566" t="n">
        <v>0.003718515</v>
      </c>
      <c r="K566" t="inlineStr"/>
      <c r="L566" t="n">
        <v>0.96109</v>
      </c>
      <c r="M566" t="n">
        <v>0.961159218</v>
      </c>
      <c r="N566" t="inlineStr">
        <is>
          <t>Yes</t>
        </is>
      </c>
      <c r="O566" t="inlineStr">
        <is>
          <t>improve</t>
        </is>
      </c>
      <c r="P566" t="inlineStr">
        <is>
          <t>adjusted decimals</t>
        </is>
      </c>
      <c r="Q566" t="inlineStr"/>
      <c r="R566" t="inlineStr"/>
      <c r="S566">
        <f>HYPERLINK("https://helical-indexing-hi3d.streamlit.app/?emd_id=emd-10587&amp;rise=28.37267802&amp;twist=-167.6457244&amp;csym=1&amp;rise2=28.3692&amp;twist2=-167.652&amp;csym2=1", "Link")</f>
        <v/>
      </c>
    </row>
    <row r="567">
      <c r="A567" t="inlineStr">
        <is>
          <t>EMD-16425</t>
        </is>
      </c>
      <c r="B567" t="inlineStr">
        <is>
          <t>non-amyloid</t>
        </is>
      </c>
      <c r="C567" t="n">
        <v>2.6</v>
      </c>
      <c r="D567" t="n">
        <v>28.15</v>
      </c>
      <c r="E567" t="n">
        <v>-166.48</v>
      </c>
      <c r="F567" t="inlineStr">
        <is>
          <t>C1</t>
        </is>
      </c>
      <c r="G567" t="inlineStr">
        <is>
          <t>27.286</t>
        </is>
      </c>
      <c r="H567" t="n">
        <v>-166.5</v>
      </c>
      <c r="I567" t="inlineStr">
        <is>
          <t>C1</t>
        </is>
      </c>
      <c r="J567" t="n">
        <v>0.864036345</v>
      </c>
      <c r="K567" t="inlineStr"/>
      <c r="L567" t="n">
        <v>0.388609303</v>
      </c>
      <c r="M567" t="n">
        <v>0.78268</v>
      </c>
      <c r="N567" t="inlineStr">
        <is>
          <t>Yes</t>
        </is>
      </c>
      <c r="O567" t="inlineStr">
        <is>
          <t>improve</t>
        </is>
      </c>
      <c r="P567" t="inlineStr">
        <is>
          <t>paper mismatch</t>
        </is>
      </c>
      <c r="Q567" t="inlineStr"/>
      <c r="R567" t="inlineStr"/>
      <c r="S567">
        <f>HYPERLINK("https://helical-indexing-hi3d.streamlit.app/?emd_id=emd-16425&amp;rise=27.286&amp;twist=-166.5&amp;csym=1&amp;rise2=28.15&amp;twist2=-166.48&amp;csym2=1", "Link")</f>
        <v/>
      </c>
    </row>
    <row r="568">
      <c r="A568" t="inlineStr">
        <is>
          <t>EMD-26546</t>
        </is>
      </c>
      <c r="B568" t="inlineStr">
        <is>
          <t>non-amyloid</t>
        </is>
      </c>
      <c r="C568" t="n">
        <v>2.6</v>
      </c>
      <c r="D568" t="n">
        <v>1.59</v>
      </c>
      <c r="E568" t="n">
        <v>-173.747</v>
      </c>
      <c r="F568" t="inlineStr">
        <is>
          <t>C1</t>
        </is>
      </c>
      <c r="G568" t="inlineStr">
        <is>
          <t>1.59</t>
        </is>
      </c>
      <c r="H568" t="n">
        <v>-173.747</v>
      </c>
      <c r="I568" t="inlineStr">
        <is>
          <t>C1</t>
        </is>
      </c>
      <c r="J568" t="n">
        <v>0</v>
      </c>
      <c r="K568" t="inlineStr"/>
      <c r="L568" t="n">
        <v>0.9598408389999999</v>
      </c>
      <c r="M568" t="n">
        <v>0.9598408389999999</v>
      </c>
      <c r="N568" t="inlineStr">
        <is>
          <t>Yes</t>
        </is>
      </c>
      <c r="O568" t="inlineStr">
        <is>
          <t>equal</t>
        </is>
      </c>
      <c r="P568" t="inlineStr">
        <is>
          <t>deposited</t>
        </is>
      </c>
      <c r="Q568" t="inlineStr"/>
      <c r="R568" t="inlineStr"/>
      <c r="S568">
        <f>HYPERLINK("https://helical-indexing-hi3d.streamlit.app/?emd_id=emd-26546&amp;rise=1.59&amp;twist=-173.747&amp;csym=1&amp;rise2=1.59&amp;twist2=-173.747&amp;csym2=1", "Link")</f>
        <v/>
      </c>
    </row>
    <row r="569">
      <c r="A569" t="inlineStr">
        <is>
          <t>EMD-24323</t>
        </is>
      </c>
      <c r="B569" t="inlineStr">
        <is>
          <t>non-amyloid</t>
        </is>
      </c>
      <c r="C569" t="n">
        <v>2.6</v>
      </c>
      <c r="D569" t="n">
        <v>27.4</v>
      </c>
      <c r="E569" t="n">
        <v>-166.8</v>
      </c>
      <c r="F569" t="inlineStr">
        <is>
          <t>C1</t>
        </is>
      </c>
      <c r="G569" t="inlineStr"/>
      <c r="H569" t="inlineStr"/>
      <c r="I569" t="inlineStr">
        <is>
          <t>Cnan</t>
        </is>
      </c>
      <c r="J569" t="inlineStr"/>
      <c r="K569" t="inlineStr">
        <is>
          <t>z -&gt; x</t>
        </is>
      </c>
      <c r="L569" t="n">
        <v>0.48189</v>
      </c>
      <c r="M569" t="n">
        <v>0.48189</v>
      </c>
      <c r="N569" t="inlineStr">
        <is>
          <t>Excluded</t>
        </is>
      </c>
      <c r="O569" t="inlineStr">
        <is>
          <t>equal</t>
        </is>
      </c>
      <c r="P569" t="inlineStr">
        <is>
          <t>focus reconstruction</t>
        </is>
      </c>
      <c r="Q569" t="inlineStr"/>
      <c r="R569" t="inlineStr"/>
      <c r="S569">
        <f>HYPERLINK("https://helical-indexing-hi3d.streamlit.app/?emd_id=emd-24323&amp;rise=nan&amp;twist=nan&amp;csym=nan&amp;rise2=27.4&amp;twist2=-166.8&amp;csym2=1", "Link")</f>
        <v/>
      </c>
    </row>
    <row r="570">
      <c r="A570" t="inlineStr">
        <is>
          <t>EMD-26075</t>
        </is>
      </c>
      <c r="B570" t="inlineStr">
        <is>
          <t>microtubule</t>
        </is>
      </c>
      <c r="C570" t="n">
        <v>2.6</v>
      </c>
      <c r="D570" t="n">
        <v>5.44</v>
      </c>
      <c r="E570" t="n">
        <v>168.069</v>
      </c>
      <c r="F570" t="inlineStr">
        <is>
          <t>C1</t>
        </is>
      </c>
      <c r="G570" t="inlineStr"/>
      <c r="H570" t="inlineStr"/>
      <c r="I570" t="inlineStr">
        <is>
          <t>Cnan</t>
        </is>
      </c>
      <c r="J570" t="inlineStr"/>
      <c r="K570" t="inlineStr"/>
      <c r="L570" t="n">
        <v>0.199713758</v>
      </c>
      <c r="M570" t="n">
        <v>0.214336701</v>
      </c>
      <c r="N570" t="inlineStr">
        <is>
          <t>Excluded</t>
        </is>
      </c>
      <c r="O570" t="inlineStr">
        <is>
          <t>improve</t>
        </is>
      </c>
      <c r="P570" t="inlineStr">
        <is>
          <t>partial map</t>
        </is>
      </c>
      <c r="Q570" t="inlineStr"/>
      <c r="R570" t="inlineStr"/>
      <c r="S570">
        <f>HYPERLINK("https://helical-indexing-hi3d.streamlit.app/?emd_id=emd-26075&amp;rise=nan&amp;twist=nan&amp;csym=nan&amp;rise2=5.44&amp;twist2=168.069&amp;csym2=1", "Link")</f>
        <v/>
      </c>
    </row>
    <row r="571">
      <c r="A571" t="inlineStr">
        <is>
          <t>EMD-15345</t>
        </is>
      </c>
      <c r="B571" t="inlineStr">
        <is>
          <t>non-amyloid</t>
        </is>
      </c>
      <c r="C571" t="n">
        <v>2.6</v>
      </c>
      <c r="D571" t="n">
        <v>3.98</v>
      </c>
      <c r="E571" t="n">
        <v>40.93</v>
      </c>
      <c r="F571" t="inlineStr">
        <is>
          <t>C1</t>
        </is>
      </c>
      <c r="G571" t="inlineStr">
        <is>
          <t>3.960919104</t>
        </is>
      </c>
      <c r="H571" t="n">
        <v>-40.95145178</v>
      </c>
      <c r="I571" t="inlineStr">
        <is>
          <t>C1</t>
        </is>
      </c>
      <c r="J571" t="n">
        <v>42.87382847072215</v>
      </c>
      <c r="K571" t="inlineStr">
        <is>
          <t> </t>
        </is>
      </c>
      <c r="L571" t="n">
        <v>0.0776</v>
      </c>
      <c r="M571" t="n">
        <v>0.9140359689999999</v>
      </c>
      <c r="N571" t="inlineStr">
        <is>
          <t>Yes</t>
        </is>
      </c>
      <c r="O571" t="inlineStr">
        <is>
          <t>improve</t>
        </is>
      </c>
      <c r="P571" t="inlineStr">
        <is>
          <t>twist sign</t>
        </is>
      </c>
      <c r="Q571" t="inlineStr"/>
      <c r="R571" t="inlineStr"/>
      <c r="S571">
        <f>HYPERLINK("https://helical-indexing-hi3d.streamlit.app/?emd_id=emd-15345&amp;rise=3.960919104&amp;twist=-40.95145178&amp;csym=1&amp;rise2=3.98&amp;twist2=40.93&amp;csym2=1", "Link")</f>
        <v/>
      </c>
    </row>
    <row r="572">
      <c r="A572" t="inlineStr">
        <is>
          <t>EMD-17584</t>
        </is>
      </c>
      <c r="B572" t="inlineStr">
        <is>
          <t>non-amyloid</t>
        </is>
      </c>
      <c r="C572" t="n">
        <v>2.61</v>
      </c>
      <c r="D572" t="n">
        <v>16.1</v>
      </c>
      <c r="E572" t="n">
        <v>56.2</v>
      </c>
      <c r="F572" t="inlineStr">
        <is>
          <t>C1</t>
        </is>
      </c>
      <c r="G572" t="inlineStr"/>
      <c r="H572" t="inlineStr"/>
      <c r="I572" t="inlineStr">
        <is>
          <t>C1</t>
        </is>
      </c>
      <c r="J572" t="inlineStr"/>
      <c r="K572" t="inlineStr">
        <is>
          <t>z -&gt; x</t>
        </is>
      </c>
      <c r="L572" t="n">
        <v>0.29017</v>
      </c>
      <c r="M572" t="n">
        <v>0.29017</v>
      </c>
      <c r="N572" t="inlineStr">
        <is>
          <t>Excluded</t>
        </is>
      </c>
      <c r="O572" t="inlineStr">
        <is>
          <t>equal</t>
        </is>
      </c>
      <c r="P572" t="inlineStr">
        <is>
          <t>focus reconstruction</t>
        </is>
      </c>
      <c r="Q572" t="inlineStr"/>
      <c r="R572" t="inlineStr"/>
      <c r="S572">
        <f>HYPERLINK("https://helical-indexing-hi3d.streamlit.app/?emd_id=emd-17584&amp;rise=nan&amp;twist=nan&amp;csym=1&amp;rise2=16.1&amp;twist2=56.2&amp;csym2=1", "Link")</f>
        <v/>
      </c>
    </row>
    <row r="573">
      <c r="A573" t="inlineStr">
        <is>
          <t>EMD-17074</t>
        </is>
      </c>
      <c r="B573" t="inlineStr">
        <is>
          <t>non-amyloid</t>
        </is>
      </c>
      <c r="C573" t="n">
        <v>2.62</v>
      </c>
      <c r="D573" t="n">
        <v>4.124</v>
      </c>
      <c r="E573" t="n">
        <v>-41.055</v>
      </c>
      <c r="F573" t="inlineStr">
        <is>
          <t>C1</t>
        </is>
      </c>
      <c r="G573" t="inlineStr">
        <is>
          <t>4.124</t>
        </is>
      </c>
      <c r="H573" t="n">
        <v>-41.055</v>
      </c>
      <c r="I573" t="inlineStr">
        <is>
          <t>C1</t>
        </is>
      </c>
      <c r="J573" t="n">
        <v>0</v>
      </c>
      <c r="K573" t="inlineStr"/>
      <c r="L573" t="n">
        <v>0.96993</v>
      </c>
      <c r="M573" t="n">
        <v>0.96993</v>
      </c>
      <c r="N573" t="inlineStr">
        <is>
          <t>Yes</t>
        </is>
      </c>
      <c r="O573" t="inlineStr">
        <is>
          <t>equal</t>
        </is>
      </c>
      <c r="P573" t="inlineStr">
        <is>
          <t>deposited</t>
        </is>
      </c>
      <c r="Q573" t="inlineStr"/>
      <c r="R573" t="inlineStr"/>
      <c r="S573">
        <f>HYPERLINK("https://helical-indexing-hi3d.streamlit.app/?emd_id=emd-17074&amp;rise=4.124&amp;twist=-41.055&amp;csym=1&amp;rise2=4.124&amp;twist2=-41.055&amp;csym2=1", "Link")</f>
        <v/>
      </c>
    </row>
    <row r="574">
      <c r="A574" t="inlineStr">
        <is>
          <t>EMD-16677</t>
        </is>
      </c>
      <c r="B574" t="inlineStr">
        <is>
          <t>amyloid</t>
        </is>
      </c>
      <c r="C574" t="n">
        <v>2.65</v>
      </c>
      <c r="D574" t="n">
        <v>1.175</v>
      </c>
      <c r="E574" t="n">
        <v>4.99</v>
      </c>
      <c r="F574" t="inlineStr">
        <is>
          <t>C1</t>
        </is>
      </c>
      <c r="G574" t="inlineStr">
        <is>
          <t>4.99</t>
        </is>
      </c>
      <c r="H574" t="n">
        <v>1.175</v>
      </c>
      <c r="I574" t="inlineStr">
        <is>
          <t>C1</t>
        </is>
      </c>
      <c r="J574" t="n">
        <v>4.010568526834662</v>
      </c>
      <c r="K574" t="inlineStr"/>
      <c r="L574" t="n">
        <v>0.09629</v>
      </c>
      <c r="M574" t="n">
        <v>0.850846711</v>
      </c>
      <c r="N574" t="inlineStr">
        <is>
          <t>Yes</t>
        </is>
      </c>
      <c r="O574" t="inlineStr">
        <is>
          <t>improve</t>
        </is>
      </c>
      <c r="P574" t="inlineStr">
        <is>
          <t>interchanged values</t>
        </is>
      </c>
      <c r="Q574" t="inlineStr"/>
      <c r="R574" t="inlineStr"/>
      <c r="S574">
        <f>HYPERLINK("https://helical-indexing-hi3d.streamlit.app/?emd_id=emd-16677&amp;rise=4.99&amp;twist=1.175&amp;csym=1&amp;rise2=1.175&amp;twist2=4.99&amp;csym2=1", "Link")</f>
        <v/>
      </c>
    </row>
    <row r="575">
      <c r="A575" t="inlineStr">
        <is>
          <t>EMD-34429</t>
        </is>
      </c>
      <c r="B575" t="inlineStr">
        <is>
          <t>non-amyloid</t>
        </is>
      </c>
      <c r="C575" t="n">
        <v>2.67</v>
      </c>
      <c r="D575" t="n">
        <v>7.703</v>
      </c>
      <c r="E575" t="n">
        <v>-23.398</v>
      </c>
      <c r="F575" t="inlineStr">
        <is>
          <t>C2</t>
        </is>
      </c>
      <c r="G575" t="inlineStr">
        <is>
          <t>7.703</t>
        </is>
      </c>
      <c r="H575" t="n">
        <v>-23.398</v>
      </c>
      <c r="I575" t="inlineStr">
        <is>
          <t>C2</t>
        </is>
      </c>
      <c r="J575" t="n">
        <v>0</v>
      </c>
      <c r="K575" t="inlineStr"/>
      <c r="L575" t="n">
        <v>0.9678757019999999</v>
      </c>
      <c r="M575" t="n">
        <v>0.9678757019999999</v>
      </c>
      <c r="N575" t="inlineStr">
        <is>
          <t>Yes</t>
        </is>
      </c>
      <c r="O575" t="inlineStr">
        <is>
          <t>equal</t>
        </is>
      </c>
      <c r="P575" t="inlineStr">
        <is>
          <t>deposited</t>
        </is>
      </c>
      <c r="Q575" t="inlineStr"/>
      <c r="R575" t="inlineStr"/>
      <c r="S575">
        <f>HYPERLINK("https://helical-indexing-hi3d.streamlit.app/?emd_id=emd-34429&amp;rise=7.703&amp;twist=-23.398&amp;csym=2&amp;rise2=7.703&amp;twist2=-23.398&amp;csym2=2", "Link")</f>
        <v/>
      </c>
    </row>
    <row r="576">
      <c r="A576" t="inlineStr">
        <is>
          <t>EMD-26860</t>
        </is>
      </c>
      <c r="B576" t="inlineStr">
        <is>
          <t>non-amyloid</t>
        </is>
      </c>
      <c r="C576" t="n">
        <v>2.7</v>
      </c>
      <c r="D576" t="n">
        <v>27.4</v>
      </c>
      <c r="E576" t="n">
        <v>-166.7</v>
      </c>
      <c r="F576" t="inlineStr">
        <is>
          <t>C2</t>
        </is>
      </c>
      <c r="G576" t="inlineStr">
        <is>
          <t>27.49200141</t>
        </is>
      </c>
      <c r="H576" t="n">
        <v>-166.700852</v>
      </c>
      <c r="I576" t="inlineStr">
        <is>
          <t>C2</t>
        </is>
      </c>
      <c r="J576" t="n">
        <v>0.09200159500000001</v>
      </c>
      <c r="K576" t="inlineStr"/>
      <c r="L576" t="n">
        <v>0.57775</v>
      </c>
      <c r="M576" t="n">
        <v>0.8046691929999999</v>
      </c>
      <c r="N576" t="inlineStr">
        <is>
          <t>Yes</t>
        </is>
      </c>
      <c r="O576" t="inlineStr">
        <is>
          <t>improve</t>
        </is>
      </c>
      <c r="P576" t="inlineStr">
        <is>
          <t>adjusted decimals</t>
        </is>
      </c>
      <c r="Q576" t="inlineStr"/>
      <c r="R576" t="inlineStr"/>
      <c r="S576">
        <f>HYPERLINK("https://helical-indexing-hi3d.streamlit.app/?emd_id=emd-26860&amp;rise=27.49200141&amp;twist=-166.700852&amp;csym=2&amp;rise2=27.4&amp;twist2=-166.7&amp;csym2=2", "Link")</f>
        <v/>
      </c>
    </row>
    <row r="577">
      <c r="A577" t="inlineStr">
        <is>
          <t>EMD-25404</t>
        </is>
      </c>
      <c r="B577" t="inlineStr">
        <is>
          <t>non-amyloid</t>
        </is>
      </c>
      <c r="C577" t="n">
        <v>2.7</v>
      </c>
      <c r="D577" t="n">
        <v>21.2</v>
      </c>
      <c r="E577" t="n">
        <v>-85.8</v>
      </c>
      <c r="F577" t="inlineStr">
        <is>
          <t>C1</t>
        </is>
      </c>
      <c r="G577" t="inlineStr">
        <is>
          <t>21.2</t>
        </is>
      </c>
      <c r="H577" t="n">
        <v>-85.8</v>
      </c>
      <c r="I577" t="inlineStr">
        <is>
          <t>C1</t>
        </is>
      </c>
      <c r="J577" t="n">
        <v>0</v>
      </c>
      <c r="K577" t="inlineStr"/>
      <c r="L577" t="n">
        <v>0.9397799999999999</v>
      </c>
      <c r="M577" t="n">
        <v>0.9397799999999999</v>
      </c>
      <c r="N577" t="inlineStr">
        <is>
          <t>Yes</t>
        </is>
      </c>
      <c r="O577" t="inlineStr">
        <is>
          <t>equal</t>
        </is>
      </c>
      <c r="P577" t="inlineStr">
        <is>
          <t>deposited</t>
        </is>
      </c>
      <c r="Q577" t="inlineStr"/>
      <c r="R577" t="inlineStr"/>
      <c r="S577">
        <f>HYPERLINK("https://helical-indexing-hi3d.streamlit.app/?emd_id=emd-25404&amp;rise=21.2&amp;twist=-85.8&amp;csym=1&amp;rise2=21.2&amp;twist2=-85.8&amp;csym2=1", "Link")</f>
        <v/>
      </c>
    </row>
    <row r="578">
      <c r="A578" t="inlineStr">
        <is>
          <t>EMD-16424</t>
        </is>
      </c>
      <c r="B578" t="inlineStr">
        <is>
          <t>non-amyloid</t>
        </is>
      </c>
      <c r="C578" t="n">
        <v>2.7</v>
      </c>
      <c r="D578" t="n">
        <v>28.14</v>
      </c>
      <c r="E578" t="n">
        <v>-166.39</v>
      </c>
      <c r="F578" t="inlineStr">
        <is>
          <t>C1</t>
        </is>
      </c>
      <c r="G578" t="inlineStr">
        <is>
          <t>27.35469009</t>
        </is>
      </c>
      <c r="H578" t="n">
        <v>-166.3525765</v>
      </c>
      <c r="I578" t="inlineStr">
        <is>
          <t>C1</t>
        </is>
      </c>
      <c r="J578" t="n">
        <v>0.7854350485907238</v>
      </c>
      <c r="K578" t="inlineStr"/>
      <c r="L578" t="n">
        <v>0.399000415</v>
      </c>
      <c r="M578" t="n">
        <v>0.7747460819999999</v>
      </c>
      <c r="N578" t="inlineStr">
        <is>
          <t>Yes</t>
        </is>
      </c>
      <c r="O578" t="inlineStr">
        <is>
          <t>improve</t>
        </is>
      </c>
      <c r="P578" t="inlineStr">
        <is>
          <t>different</t>
        </is>
      </c>
      <c r="Q578" t="inlineStr">
        <is>
          <t>paper mismatch</t>
        </is>
      </c>
      <c r="R578" t="inlineStr"/>
      <c r="S578">
        <f>HYPERLINK("https://helical-indexing-hi3d.streamlit.app/?emd_id=emd-16424&amp;rise=27.35469009&amp;twist=-166.3525765&amp;csym=1&amp;rise2=28.14&amp;twist2=-166.39&amp;csym2=1", "Link")</f>
        <v/>
      </c>
    </row>
    <row r="579">
      <c r="A579" t="inlineStr">
        <is>
          <t>EMD-21946</t>
        </is>
      </c>
      <c r="B579" t="inlineStr">
        <is>
          <t>microtubule</t>
        </is>
      </c>
      <c r="C579" t="n">
        <v>2.7</v>
      </c>
      <c r="D579" t="n">
        <v>5.45</v>
      </c>
      <c r="E579" t="n">
        <v>168.09</v>
      </c>
      <c r="F579" t="inlineStr">
        <is>
          <t>C1</t>
        </is>
      </c>
      <c r="G579" t="inlineStr"/>
      <c r="H579" t="inlineStr"/>
      <c r="I579" t="inlineStr">
        <is>
          <t>C1</t>
        </is>
      </c>
      <c r="J579" t="inlineStr"/>
      <c r="K579" t="inlineStr"/>
      <c r="L579" t="n">
        <v>0.208161872</v>
      </c>
      <c r="M579" t="n">
        <v>0.239218673</v>
      </c>
      <c r="N579" t="inlineStr">
        <is>
          <t>Excluded</t>
        </is>
      </c>
      <c r="O579" t="inlineStr">
        <is>
          <t>improve</t>
        </is>
      </c>
      <c r="P579" t="inlineStr">
        <is>
          <t>partial map</t>
        </is>
      </c>
      <c r="Q579" t="inlineStr"/>
      <c r="R579" t="inlineStr"/>
      <c r="S579">
        <f>HYPERLINK("https://helical-indexing-hi3d.streamlit.app/?emd_id=emd-21946&amp;rise=nan&amp;twist=nan&amp;csym=1&amp;rise2=5.45&amp;twist2=168.09&amp;csym2=1", "Link")</f>
        <v/>
      </c>
    </row>
    <row r="580">
      <c r="A580" t="inlineStr">
        <is>
          <t>EMD-21945</t>
        </is>
      </c>
      <c r="B580" t="inlineStr">
        <is>
          <t>microtubule</t>
        </is>
      </c>
      <c r="C580" t="n">
        <v>2.7</v>
      </c>
      <c r="D580" t="n">
        <v>5.44</v>
      </c>
      <c r="E580" t="n">
        <v>168.07</v>
      </c>
      <c r="F580" t="inlineStr">
        <is>
          <t>C1</t>
        </is>
      </c>
      <c r="G580" t="inlineStr"/>
      <c r="H580" t="inlineStr"/>
      <c r="I580" t="inlineStr">
        <is>
          <t>C1</t>
        </is>
      </c>
      <c r="J580" t="inlineStr"/>
      <c r="K580" t="inlineStr"/>
      <c r="L580" t="n">
        <v>0.20605358</v>
      </c>
      <c r="M580" t="n">
        <v>0.248198889</v>
      </c>
      <c r="N580" t="inlineStr">
        <is>
          <t>Excluded</t>
        </is>
      </c>
      <c r="O580" t="inlineStr">
        <is>
          <t>improve</t>
        </is>
      </c>
      <c r="P580" t="inlineStr">
        <is>
          <t>partial map</t>
        </is>
      </c>
      <c r="Q580" t="inlineStr"/>
      <c r="R580" t="inlineStr"/>
      <c r="S580">
        <f>HYPERLINK("https://helical-indexing-hi3d.streamlit.app/?emd_id=emd-21945&amp;rise=nan&amp;twist=nan&amp;csym=1&amp;rise2=5.44&amp;twist2=168.07&amp;csym2=1", "Link")</f>
        <v/>
      </c>
    </row>
    <row r="581">
      <c r="A581" t="inlineStr">
        <is>
          <t>EMD-26077</t>
        </is>
      </c>
      <c r="B581" t="inlineStr">
        <is>
          <t>microtubule</t>
        </is>
      </c>
      <c r="C581" t="n">
        <v>2.7</v>
      </c>
      <c r="D581" t="n">
        <v>5.56</v>
      </c>
      <c r="E581" t="n">
        <v>168.09</v>
      </c>
      <c r="F581" t="inlineStr">
        <is>
          <t>C1</t>
        </is>
      </c>
      <c r="G581" t="inlineStr"/>
      <c r="H581" t="inlineStr"/>
      <c r="I581" t="inlineStr">
        <is>
          <t>C1</t>
        </is>
      </c>
      <c r="J581" t="inlineStr"/>
      <c r="K581" t="inlineStr"/>
      <c r="L581" t="n">
        <v>0.183323796</v>
      </c>
      <c r="M581" t="n">
        <v>0.148357368</v>
      </c>
      <c r="N581" t="inlineStr">
        <is>
          <t>Excluded</t>
        </is>
      </c>
      <c r="O581" t="inlineStr">
        <is>
          <t>worse</t>
        </is>
      </c>
      <c r="P581" t="inlineStr">
        <is>
          <t>partial map</t>
        </is>
      </c>
      <c r="Q581" t="inlineStr"/>
      <c r="R581" t="inlineStr"/>
      <c r="S581">
        <f>HYPERLINK("https://helical-indexing-hi3d.streamlit.app/?emd_id=emd-26077&amp;rise=nan&amp;twist=nan&amp;csym=1&amp;rise2=5.56&amp;twist2=168.09&amp;csym2=1", "Link")</f>
        <v/>
      </c>
    </row>
    <row r="582">
      <c r="A582" t="inlineStr">
        <is>
          <t>EMD-21948</t>
        </is>
      </c>
      <c r="B582" t="inlineStr">
        <is>
          <t>microtubule</t>
        </is>
      </c>
      <c r="C582" t="n">
        <v>2.7</v>
      </c>
      <c r="D582" t="n">
        <v>5.41</v>
      </c>
      <c r="E582" t="n">
        <v>168.07</v>
      </c>
      <c r="F582" t="inlineStr">
        <is>
          <t>C1</t>
        </is>
      </c>
      <c r="G582" t="inlineStr"/>
      <c r="H582" t="inlineStr"/>
      <c r="I582" t="inlineStr">
        <is>
          <t>C1</t>
        </is>
      </c>
      <c r="J582" t="inlineStr"/>
      <c r="K582" t="inlineStr"/>
      <c r="L582" t="n">
        <v>0.207980138</v>
      </c>
      <c r="M582" t="n">
        <v>0.244243383</v>
      </c>
      <c r="N582" t="inlineStr">
        <is>
          <t>Excluded</t>
        </is>
      </c>
      <c r="O582" t="inlineStr">
        <is>
          <t>improve</t>
        </is>
      </c>
      <c r="P582" t="inlineStr">
        <is>
          <t>partial map</t>
        </is>
      </c>
      <c r="Q582" t="inlineStr"/>
      <c r="R582" t="inlineStr"/>
      <c r="S582">
        <f>HYPERLINK("https://helical-indexing-hi3d.streamlit.app/?emd_id=emd-21948&amp;rise=nan&amp;twist=nan&amp;csym=1&amp;rise2=5.41&amp;twist2=168.07&amp;csym2=1", "Link")</f>
        <v/>
      </c>
    </row>
    <row r="583">
      <c r="A583" t="inlineStr">
        <is>
          <t>EMD-26076</t>
        </is>
      </c>
      <c r="B583" t="inlineStr">
        <is>
          <t>microtubule</t>
        </is>
      </c>
      <c r="C583" t="n">
        <v>2.7</v>
      </c>
      <c r="D583" t="n">
        <v>5.55</v>
      </c>
      <c r="E583" t="n">
        <v>168.087</v>
      </c>
      <c r="F583" t="inlineStr">
        <is>
          <t>C1</t>
        </is>
      </c>
      <c r="G583" t="inlineStr"/>
      <c r="H583" t="inlineStr"/>
      <c r="I583" t="inlineStr">
        <is>
          <t>C1</t>
        </is>
      </c>
      <c r="J583" t="inlineStr"/>
      <c r="K583" t="inlineStr"/>
      <c r="L583" t="n">
        <v>0.235769388</v>
      </c>
      <c r="M583" t="n">
        <v>0.216657681</v>
      </c>
      <c r="N583" t="inlineStr">
        <is>
          <t>Excluded</t>
        </is>
      </c>
      <c r="O583" t="inlineStr">
        <is>
          <t>worse</t>
        </is>
      </c>
      <c r="P583" t="inlineStr">
        <is>
          <t>partial map</t>
        </is>
      </c>
      <c r="Q583" t="inlineStr"/>
      <c r="R583" t="inlineStr"/>
      <c r="S583">
        <f>HYPERLINK("https://helical-indexing-hi3d.streamlit.app/?emd_id=emd-26076&amp;rise=nan&amp;twist=nan&amp;csym=1&amp;rise2=5.55&amp;twist2=168.087&amp;csym2=1", "Link")</f>
        <v/>
      </c>
    </row>
    <row r="584">
      <c r="A584" t="inlineStr">
        <is>
          <t>EMD-28026</t>
        </is>
      </c>
      <c r="B584" t="inlineStr">
        <is>
          <t>non-amyloid</t>
        </is>
      </c>
      <c r="C584" t="n">
        <v>2.72</v>
      </c>
      <c r="D584" t="n">
        <v>40</v>
      </c>
      <c r="E584" t="n">
        <v>-44</v>
      </c>
      <c r="F584" t="inlineStr">
        <is>
          <t>C3</t>
        </is>
      </c>
      <c r="G584" t="inlineStr">
        <is>
          <t>40.18309396</t>
        </is>
      </c>
      <c r="H584" t="n">
        <v>-44.73835147</v>
      </c>
      <c r="I584" t="inlineStr">
        <is>
          <t>C3</t>
        </is>
      </c>
      <c r="J584" t="n">
        <v>0.3937364333620636</v>
      </c>
      <c r="K584" t="inlineStr"/>
      <c r="L584" t="n">
        <v>0.79483</v>
      </c>
      <c r="M584" t="n">
        <v>0.88786097</v>
      </c>
      <c r="N584" t="inlineStr">
        <is>
          <t>Yes</t>
        </is>
      </c>
      <c r="O584" t="inlineStr">
        <is>
          <t>improve</t>
        </is>
      </c>
      <c r="P584" t="inlineStr">
        <is>
          <t>adjusted decimals</t>
        </is>
      </c>
      <c r="Q584" t="inlineStr"/>
      <c r="R584" t="inlineStr"/>
      <c r="S584">
        <f>HYPERLINK("https://helical-indexing-hi3d.streamlit.app/?emd_id=emd-28026&amp;rise=40.18309396&amp;twist=-44.73835147&amp;csym=3&amp;rise2=40.0&amp;twist2=-44.0&amp;csym2=3", "Link")</f>
        <v/>
      </c>
    </row>
    <row r="585">
      <c r="A585" t="inlineStr">
        <is>
          <t>EMD-13864</t>
        </is>
      </c>
      <c r="B585" t="inlineStr">
        <is>
          <t>non-amyloid</t>
        </is>
      </c>
      <c r="C585" t="n">
        <v>2.72</v>
      </c>
      <c r="D585" t="n">
        <v>28.4</v>
      </c>
      <c r="E585" t="n">
        <v>-166.54</v>
      </c>
      <c r="F585" t="inlineStr">
        <is>
          <t>C1</t>
        </is>
      </c>
      <c r="G585" t="inlineStr">
        <is>
          <t>28.4</t>
        </is>
      </c>
      <c r="H585" t="n">
        <v>-166.54</v>
      </c>
      <c r="I585" t="inlineStr">
        <is>
          <t>C1</t>
        </is>
      </c>
      <c r="J585" t="n">
        <v>0</v>
      </c>
      <c r="K585" t="inlineStr">
        <is>
          <t>z -&gt; x</t>
        </is>
      </c>
      <c r="L585" t="n">
        <v>0.9533700000000001</v>
      </c>
      <c r="M585" t="n">
        <v>0.9533700000000001</v>
      </c>
      <c r="N585" t="inlineStr">
        <is>
          <t>Yes</t>
        </is>
      </c>
      <c r="O585" t="inlineStr">
        <is>
          <t>equal</t>
        </is>
      </c>
      <c r="P585" t="inlineStr">
        <is>
          <t>deposited</t>
        </is>
      </c>
      <c r="Q585" t="inlineStr"/>
      <c r="R585" t="inlineStr"/>
      <c r="S585">
        <f>HYPERLINK("https://helical-indexing-hi3d.streamlit.app/?emd_id=emd-13864&amp;rise=28.4&amp;twist=-166.54&amp;csym=1&amp;rise2=28.4&amp;twist2=-166.54&amp;csym2=1", "Link")</f>
        <v/>
      </c>
    </row>
    <row r="586">
      <c r="A586" t="inlineStr">
        <is>
          <t>EMD-26862</t>
        </is>
      </c>
      <c r="B586" t="inlineStr">
        <is>
          <t>non-amyloid</t>
        </is>
      </c>
      <c r="C586" t="n">
        <v>2.74</v>
      </c>
      <c r="D586" t="n">
        <v>17.867</v>
      </c>
      <c r="E586" t="n">
        <v>174.056</v>
      </c>
      <c r="F586" t="inlineStr">
        <is>
          <t>C1</t>
        </is>
      </c>
      <c r="G586" t="inlineStr">
        <is>
          <t>17.86727755</t>
        </is>
      </c>
      <c r="H586" t="n">
        <v>174.0522765</v>
      </c>
      <c r="I586" t="inlineStr">
        <is>
          <t>C1</t>
        </is>
      </c>
      <c r="J586" t="n">
        <v>0.000974087</v>
      </c>
      <c r="K586" t="inlineStr"/>
      <c r="L586" t="n">
        <v>0.96401</v>
      </c>
      <c r="M586" t="n">
        <v>0.964197075</v>
      </c>
      <c r="N586" t="inlineStr">
        <is>
          <t>Yes</t>
        </is>
      </c>
      <c r="O586" t="inlineStr">
        <is>
          <t>improve</t>
        </is>
      </c>
      <c r="P586" t="inlineStr">
        <is>
          <t>adjusted decimals</t>
        </is>
      </c>
      <c r="Q586" t="inlineStr"/>
      <c r="R586" t="inlineStr"/>
      <c r="S586">
        <f>HYPERLINK("https://helical-indexing-hi3d.streamlit.app/?emd_id=emd-26862&amp;rise=17.86727755&amp;twist=174.0522765&amp;csym=1&amp;rise2=17.867&amp;twist2=174.056&amp;csym2=1", "Link")</f>
        <v/>
      </c>
    </row>
    <row r="587">
      <c r="A587" t="inlineStr">
        <is>
          <t>EMD-16234</t>
        </is>
      </c>
      <c r="B587" t="inlineStr">
        <is>
          <t>non-amyloid</t>
        </is>
      </c>
      <c r="C587" t="n">
        <v>2.75</v>
      </c>
      <c r="D587" t="n">
        <v>41.935</v>
      </c>
      <c r="E587" t="n">
        <v>128.947</v>
      </c>
      <c r="F587" t="inlineStr">
        <is>
          <t>C2</t>
        </is>
      </c>
      <c r="G587" t="inlineStr">
        <is>
          <t>41.935</t>
        </is>
      </c>
      <c r="H587" t="n">
        <v>128.947</v>
      </c>
      <c r="I587" t="inlineStr">
        <is>
          <t>C2</t>
        </is>
      </c>
      <c r="J587" t="n">
        <v>0</v>
      </c>
      <c r="K587" t="inlineStr"/>
      <c r="L587" t="n">
        <v>0.8613499999999999</v>
      </c>
      <c r="M587" t="n">
        <v>0.8613499999999999</v>
      </c>
      <c r="N587" t="inlineStr">
        <is>
          <t>Yes</t>
        </is>
      </c>
      <c r="O587" t="inlineStr">
        <is>
          <t>equal</t>
        </is>
      </c>
      <c r="P587" t="inlineStr">
        <is>
          <t>deposited</t>
        </is>
      </c>
      <c r="Q587" t="inlineStr"/>
      <c r="R587" t="inlineStr"/>
      <c r="S587">
        <f>HYPERLINK("https://helical-indexing-hi3d.streamlit.app/?emd_id=emd-16234&amp;rise=41.935&amp;twist=128.947&amp;csym=2&amp;rise2=41.935&amp;twist2=128.947&amp;csym2=2", "Link")</f>
        <v/>
      </c>
    </row>
    <row r="588">
      <c r="A588" t="inlineStr">
        <is>
          <t>EMD-26772</t>
        </is>
      </c>
      <c r="B588" t="inlineStr">
        <is>
          <t>non-amyloid</t>
        </is>
      </c>
      <c r="C588" t="n">
        <v>2.77</v>
      </c>
      <c r="D588" t="n">
        <v>27.5</v>
      </c>
      <c r="E588" t="n">
        <v>-166.7</v>
      </c>
      <c r="F588" t="inlineStr">
        <is>
          <t>C2</t>
        </is>
      </c>
      <c r="G588" t="inlineStr">
        <is>
          <t>27.49429794</t>
        </is>
      </c>
      <c r="H588" t="n">
        <v>-166.7495842</v>
      </c>
      <c r="I588" t="inlineStr">
        <is>
          <t>C2</t>
        </is>
      </c>
      <c r="J588" t="n">
        <v>0.0118708257275272</v>
      </c>
      <c r="K588" t="inlineStr"/>
      <c r="L588" t="n">
        <v>0.58562</v>
      </c>
      <c r="M588" t="n">
        <v>0.800787658</v>
      </c>
      <c r="N588" t="inlineStr">
        <is>
          <t>Yes</t>
        </is>
      </c>
      <c r="O588" t="inlineStr">
        <is>
          <t>improve</t>
        </is>
      </c>
      <c r="P588" t="inlineStr">
        <is>
          <t>adjusted decimals</t>
        </is>
      </c>
      <c r="Q588" t="inlineStr"/>
      <c r="R588" t="inlineStr"/>
      <c r="S588">
        <f>HYPERLINK("https://helical-indexing-hi3d.streamlit.app/?emd_id=emd-26772&amp;rise=27.49429794&amp;twist=-166.7495842&amp;csym=2&amp;rise2=27.5&amp;twist2=-166.7&amp;csym2=2", "Link")</f>
        <v/>
      </c>
    </row>
    <row r="589">
      <c r="A589" t="inlineStr">
        <is>
          <t>EMD-34154</t>
        </is>
      </c>
      <c r="B589" t="inlineStr">
        <is>
          <t>non-amyloid</t>
        </is>
      </c>
      <c r="C589" t="n">
        <v>2.78</v>
      </c>
      <c r="D589" t="n">
        <v>31.5</v>
      </c>
      <c r="E589" t="n">
        <v>118.1</v>
      </c>
      <c r="F589" t="inlineStr">
        <is>
          <t>C1</t>
        </is>
      </c>
      <c r="G589" t="inlineStr"/>
      <c r="H589" t="inlineStr"/>
      <c r="I589" t="inlineStr">
        <is>
          <t>Cnan</t>
        </is>
      </c>
      <c r="J589" t="inlineStr"/>
      <c r="K589" t="inlineStr"/>
      <c r="L589" t="n">
        <v>0.56146</v>
      </c>
      <c r="M589" t="n">
        <v>0.584800985</v>
      </c>
      <c r="N589" t="inlineStr">
        <is>
          <t>Excluded</t>
        </is>
      </c>
      <c r="O589" t="inlineStr">
        <is>
          <t>improve</t>
        </is>
      </c>
      <c r="P589" t="inlineStr">
        <is>
          <t>focus reconstruction</t>
        </is>
      </c>
      <c r="Q589" t="inlineStr"/>
      <c r="R589" t="inlineStr"/>
      <c r="S589">
        <f>HYPERLINK("https://helical-indexing-hi3d.streamlit.app/?emd_id=emd-34154&amp;rise=nan&amp;twist=nan&amp;csym=nan&amp;rise2=31.5&amp;twist2=118.1&amp;csym2=1", "Link")</f>
        <v/>
      </c>
    </row>
    <row r="590">
      <c r="A590" t="inlineStr">
        <is>
          <t>EMD-21867</t>
        </is>
      </c>
      <c r="B590" t="inlineStr">
        <is>
          <t>non-amyloid</t>
        </is>
      </c>
      <c r="C590" t="n">
        <v>2.8</v>
      </c>
      <c r="D590" t="n">
        <v>2.94</v>
      </c>
      <c r="E590" t="n">
        <v>24.53</v>
      </c>
      <c r="F590" t="inlineStr">
        <is>
          <t>C1</t>
        </is>
      </c>
      <c r="G590" t="inlineStr">
        <is>
          <t>2.942242653</t>
        </is>
      </c>
      <c r="H590" t="n">
        <v>24.53015701</v>
      </c>
      <c r="I590" t="inlineStr">
        <is>
          <t>C1</t>
        </is>
      </c>
      <c r="J590" t="n">
        <v>0.002243845</v>
      </c>
      <c r="K590" t="inlineStr"/>
      <c r="L590" t="n">
        <v>0.9759</v>
      </c>
      <c r="M590" t="n">
        <v>0.975900405</v>
      </c>
      <c r="N590" t="inlineStr">
        <is>
          <t>Yes</t>
        </is>
      </c>
      <c r="O590" t="inlineStr">
        <is>
          <t>improve</t>
        </is>
      </c>
      <c r="P590" t="inlineStr">
        <is>
          <t>adjusted decimals</t>
        </is>
      </c>
      <c r="Q590" t="inlineStr"/>
      <c r="R590" t="inlineStr"/>
      <c r="S590">
        <f>HYPERLINK("https://helical-indexing-hi3d.streamlit.app/?emd_id=emd-21867&amp;rise=2.942242653&amp;twist=24.53015701&amp;csym=1&amp;rise2=2.94&amp;twist2=24.53&amp;csym2=1", "Link")</f>
        <v/>
      </c>
    </row>
    <row r="591">
      <c r="A591" t="inlineStr">
        <is>
          <t>EMD-10362</t>
        </is>
      </c>
      <c r="B591" t="inlineStr">
        <is>
          <t>non-amyloid</t>
        </is>
      </c>
      <c r="C591" t="n">
        <v>2.8</v>
      </c>
      <c r="D591" t="n">
        <v>4.83</v>
      </c>
      <c r="E591" t="n">
        <v>65.45</v>
      </c>
      <c r="F591" t="inlineStr">
        <is>
          <t>C1</t>
        </is>
      </c>
      <c r="G591" t="inlineStr">
        <is>
          <t>4.831009468</t>
        </is>
      </c>
      <c r="H591" t="n">
        <v>65.39379875</v>
      </c>
      <c r="I591" t="inlineStr">
        <is>
          <t>C1</t>
        </is>
      </c>
      <c r="J591" t="n">
        <v>0.0247193556329526</v>
      </c>
      <c r="K591" t="inlineStr"/>
      <c r="L591" t="n">
        <v>0.91752</v>
      </c>
      <c r="M591" t="n">
        <v>0.952495958</v>
      </c>
      <c r="N591" t="inlineStr">
        <is>
          <t>Yes</t>
        </is>
      </c>
      <c r="O591" t="inlineStr">
        <is>
          <t>improve</t>
        </is>
      </c>
      <c r="P591" t="inlineStr">
        <is>
          <t>adjusted decimals</t>
        </is>
      </c>
      <c r="Q591" t="inlineStr"/>
      <c r="R591" t="inlineStr"/>
      <c r="S591">
        <f>HYPERLINK("https://helical-indexing-hi3d.streamlit.app/?emd_id=emd-10362&amp;rise=4.831009468&amp;twist=65.39379875&amp;csym=1&amp;rise2=4.83&amp;twist2=65.45&amp;csym2=1", "Link")</f>
        <v/>
      </c>
    </row>
    <row r="592">
      <c r="A592" t="inlineStr">
        <is>
          <t>EMD-4802</t>
        </is>
      </c>
      <c r="B592" t="inlineStr">
        <is>
          <t>non-amyloid</t>
        </is>
      </c>
      <c r="C592" t="n">
        <v>2.8</v>
      </c>
      <c r="D592" t="n">
        <v>78.64360000000001</v>
      </c>
      <c r="E592" t="n">
        <v>40.2722</v>
      </c>
      <c r="F592" t="inlineStr">
        <is>
          <t>C6</t>
        </is>
      </c>
      <c r="G592" t="inlineStr">
        <is>
          <t>78.6436</t>
        </is>
      </c>
      <c r="H592" t="n">
        <v>40.2722</v>
      </c>
      <c r="I592" t="inlineStr">
        <is>
          <t>C6</t>
        </is>
      </c>
      <c r="J592" t="n">
        <v>0</v>
      </c>
      <c r="K592" t="inlineStr"/>
      <c r="L592" t="n">
        <v>0.91897</v>
      </c>
      <c r="M592" t="n">
        <v>0.91897</v>
      </c>
      <c r="N592" t="inlineStr">
        <is>
          <t>Yes</t>
        </is>
      </c>
      <c r="O592" t="inlineStr">
        <is>
          <t>equal</t>
        </is>
      </c>
      <c r="P592" t="inlineStr">
        <is>
          <t>deposited</t>
        </is>
      </c>
      <c r="Q592" t="inlineStr"/>
      <c r="R592" t="inlineStr"/>
      <c r="S592">
        <f>HYPERLINK("https://helical-indexing-hi3d.streamlit.app/?emd_id=emd-4802&amp;rise=78.6436&amp;twist=40.2722&amp;csym=6&amp;rise2=78.6436&amp;twist2=40.2722&amp;csym2=6", "Link")</f>
        <v/>
      </c>
    </row>
    <row r="593">
      <c r="A593" t="inlineStr">
        <is>
          <t>EMD-26074</t>
        </is>
      </c>
      <c r="B593" t="inlineStr">
        <is>
          <t>microtubule</t>
        </is>
      </c>
      <c r="C593" t="n">
        <v>2.8</v>
      </c>
      <c r="D593" t="n">
        <v>5.56</v>
      </c>
      <c r="E593" t="n">
        <v>168.089</v>
      </c>
      <c r="F593" t="inlineStr">
        <is>
          <t>C1</t>
        </is>
      </c>
      <c r="G593" t="inlineStr"/>
      <c r="H593" t="inlineStr"/>
      <c r="I593" t="inlineStr">
        <is>
          <t>C1</t>
        </is>
      </c>
      <c r="J593" t="inlineStr"/>
      <c r="K593" t="inlineStr"/>
      <c r="L593" t="n">
        <v>0.231378942</v>
      </c>
      <c r="M593" t="n">
        <v>0.209871129</v>
      </c>
      <c r="N593" t="inlineStr">
        <is>
          <t>Excluded</t>
        </is>
      </c>
      <c r="O593" t="inlineStr">
        <is>
          <t>worse</t>
        </is>
      </c>
      <c r="P593" t="inlineStr">
        <is>
          <t>partial map</t>
        </is>
      </c>
      <c r="Q593" t="inlineStr"/>
      <c r="R593" t="inlineStr"/>
      <c r="S593">
        <f>HYPERLINK("https://helical-indexing-hi3d.streamlit.app/?emd_id=emd-26074&amp;rise=nan&amp;twist=nan&amp;csym=1&amp;rise2=5.56&amp;twist2=168.089&amp;csym2=1", "Link")</f>
        <v/>
      </c>
    </row>
    <row r="594">
      <c r="A594" t="inlineStr">
        <is>
          <t>EMD-21942</t>
        </is>
      </c>
      <c r="B594" t="inlineStr">
        <is>
          <t>microtubule</t>
        </is>
      </c>
      <c r="C594" t="n">
        <v>2.8</v>
      </c>
      <c r="D594" t="n">
        <v>5.43</v>
      </c>
      <c r="E594" t="n">
        <v>168.08</v>
      </c>
      <c r="F594" t="inlineStr">
        <is>
          <t>C1</t>
        </is>
      </c>
      <c r="G594" t="inlineStr"/>
      <c r="H594" t="inlineStr"/>
      <c r="I594" t="inlineStr">
        <is>
          <t>C1</t>
        </is>
      </c>
      <c r="J594" t="inlineStr"/>
      <c r="K594" t="inlineStr"/>
      <c r="L594" t="n">
        <v>0.211299071</v>
      </c>
      <c r="M594" t="n">
        <v>0.24321958</v>
      </c>
      <c r="N594" t="inlineStr">
        <is>
          <t>Excluded</t>
        </is>
      </c>
      <c r="O594" t="inlineStr">
        <is>
          <t>improve</t>
        </is>
      </c>
      <c r="P594" t="inlineStr">
        <is>
          <t>partial map</t>
        </is>
      </c>
      <c r="Q594" t="inlineStr"/>
      <c r="R594" t="inlineStr"/>
      <c r="S594">
        <f>HYPERLINK("https://helical-indexing-hi3d.streamlit.app/?emd_id=emd-21942&amp;rise=nan&amp;twist=nan&amp;csym=1&amp;rise2=5.43&amp;twist2=168.08&amp;csym2=1", "Link")</f>
        <v/>
      </c>
    </row>
    <row r="595">
      <c r="A595" t="inlineStr">
        <is>
          <t>EMD-12213</t>
        </is>
      </c>
      <c r="B595" t="inlineStr">
        <is>
          <t>non-amyloid</t>
        </is>
      </c>
      <c r="C595" t="n">
        <v>2.8</v>
      </c>
      <c r="D595" t="n">
        <v>43.92</v>
      </c>
      <c r="E595" t="n">
        <v>74.63</v>
      </c>
      <c r="F595" t="inlineStr">
        <is>
          <t>C1</t>
        </is>
      </c>
      <c r="G595" t="inlineStr">
        <is>
          <t>43.95368787</t>
        </is>
      </c>
      <c r="H595" t="n">
        <v>74.68515168</v>
      </c>
      <c r="I595" t="inlineStr">
        <is>
          <t>C1</t>
        </is>
      </c>
      <c r="J595" t="n">
        <v>0.03899565</v>
      </c>
      <c r="K595" t="inlineStr"/>
      <c r="L595" t="n">
        <v>0.9135</v>
      </c>
      <c r="M595" t="n">
        <v>0.915089402</v>
      </c>
      <c r="N595" t="inlineStr">
        <is>
          <t>Yes</t>
        </is>
      </c>
      <c r="O595" t="inlineStr">
        <is>
          <t>improve</t>
        </is>
      </c>
      <c r="P595" t="inlineStr">
        <is>
          <t>adjusted decimals</t>
        </is>
      </c>
      <c r="Q595" t="inlineStr"/>
      <c r="R595" t="inlineStr"/>
      <c r="S595">
        <f>HYPERLINK("https://helical-indexing-hi3d.streamlit.app/?emd_id=emd-12213&amp;rise=43.95368787&amp;twist=74.68515168&amp;csym=1&amp;rise2=43.92&amp;twist2=74.63&amp;csym2=1", "Link")</f>
        <v/>
      </c>
    </row>
    <row r="596">
      <c r="A596" t="inlineStr">
        <is>
          <t>EMD-21940</t>
        </is>
      </c>
      <c r="B596" t="inlineStr">
        <is>
          <t>microtubule</t>
        </is>
      </c>
      <c r="C596" t="n">
        <v>2.8</v>
      </c>
      <c r="D596" t="n">
        <v>5.51</v>
      </c>
      <c r="E596" t="n">
        <v>168.09</v>
      </c>
      <c r="F596" t="inlineStr">
        <is>
          <t>C1</t>
        </is>
      </c>
      <c r="G596" t="inlineStr"/>
      <c r="H596" t="inlineStr"/>
      <c r="I596" t="inlineStr">
        <is>
          <t>C1</t>
        </is>
      </c>
      <c r="J596" t="inlineStr"/>
      <c r="K596" t="inlineStr"/>
      <c r="L596" t="n">
        <v>0.236939475</v>
      </c>
      <c r="M596" t="n">
        <v>0.265004504</v>
      </c>
      <c r="N596" t="inlineStr">
        <is>
          <t>Excluded</t>
        </is>
      </c>
      <c r="O596" t="inlineStr">
        <is>
          <t>improve</t>
        </is>
      </c>
      <c r="P596" t="inlineStr">
        <is>
          <t>partial map</t>
        </is>
      </c>
      <c r="Q596" t="inlineStr"/>
      <c r="R596" t="inlineStr"/>
      <c r="S596">
        <f>HYPERLINK("https://helical-indexing-hi3d.streamlit.app/?emd_id=emd-21940&amp;rise=nan&amp;twist=nan&amp;csym=1&amp;rise2=5.51&amp;twist2=168.09&amp;csym2=1", "Link")</f>
        <v/>
      </c>
    </row>
    <row r="597">
      <c r="A597" t="inlineStr">
        <is>
          <t>EMD-42829</t>
        </is>
      </c>
      <c r="B597" t="inlineStr">
        <is>
          <t>non-amyloid</t>
        </is>
      </c>
      <c r="C597" t="n">
        <v>2.8</v>
      </c>
      <c r="D597" t="n">
        <v>27.42</v>
      </c>
      <c r="E597" t="n">
        <v>-166.76</v>
      </c>
      <c r="F597" t="inlineStr">
        <is>
          <t>C1</t>
        </is>
      </c>
      <c r="G597" t="inlineStr">
        <is>
          <t>27.42</t>
        </is>
      </c>
      <c r="H597" t="n">
        <v>-166.76</v>
      </c>
      <c r="I597" t="inlineStr">
        <is>
          <t>C1</t>
        </is>
      </c>
      <c r="J597" t="n">
        <v>0</v>
      </c>
      <c r="K597" t="inlineStr"/>
      <c r="L597" t="n">
        <v>0.83088</v>
      </c>
      <c r="M597" t="n">
        <v>0.83088</v>
      </c>
      <c r="N597" t="inlineStr">
        <is>
          <t>Yes</t>
        </is>
      </c>
      <c r="O597" t="inlineStr">
        <is>
          <t>equal</t>
        </is>
      </c>
      <c r="P597" t="inlineStr">
        <is>
          <t>deposited</t>
        </is>
      </c>
      <c r="Q597" t="inlineStr"/>
      <c r="R597" t="inlineStr"/>
      <c r="S597">
        <f>HYPERLINK("https://helical-indexing-hi3d.streamlit.app/?emd_id=emd-42829&amp;rise=27.42&amp;twist=-166.76&amp;csym=1&amp;rise2=27.42&amp;twist2=-166.76&amp;csym2=1", "Link")</f>
        <v/>
      </c>
    </row>
    <row r="598">
      <c r="A598" t="inlineStr">
        <is>
          <t>EMD-28695</t>
        </is>
      </c>
      <c r="B598" t="inlineStr">
        <is>
          <t>non-amyloid</t>
        </is>
      </c>
      <c r="C598" t="n">
        <v>2.8</v>
      </c>
      <c r="D598" t="n">
        <v>3.09</v>
      </c>
      <c r="E598" t="n">
        <v>-20.81</v>
      </c>
      <c r="F598" t="inlineStr">
        <is>
          <t>C1</t>
        </is>
      </c>
      <c r="G598" t="inlineStr">
        <is>
          <t>3.051316113</t>
        </is>
      </c>
      <c r="H598" t="n">
        <v>-20.82691177</v>
      </c>
      <c r="I598" t="inlineStr">
        <is>
          <t>C1</t>
        </is>
      </c>
      <c r="J598" t="n">
        <v>0.043103357</v>
      </c>
      <c r="K598" t="inlineStr"/>
      <c r="L598" t="n">
        <v>0.775815956</v>
      </c>
      <c r="M598" t="n">
        <v>0.860225058</v>
      </c>
      <c r="N598" t="inlineStr">
        <is>
          <t>Yes</t>
        </is>
      </c>
      <c r="O598" t="inlineStr">
        <is>
          <t>improve</t>
        </is>
      </c>
      <c r="P598" t="inlineStr">
        <is>
          <t>adjusted decimals</t>
        </is>
      </c>
      <c r="Q598" t="inlineStr"/>
      <c r="R598" t="inlineStr"/>
      <c r="S598">
        <f>HYPERLINK("https://helical-indexing-hi3d.streamlit.app/?emd_id=emd-28695&amp;rise=3.051316113&amp;twist=-20.82691177&amp;csym=1&amp;rise2=3.09&amp;twist2=-20.81&amp;csym2=1", "Link")</f>
        <v/>
      </c>
    </row>
    <row r="599">
      <c r="A599" t="inlineStr">
        <is>
          <t>EMD-28042</t>
        </is>
      </c>
      <c r="B599" t="inlineStr">
        <is>
          <t>non-amyloid</t>
        </is>
      </c>
      <c r="C599" t="n">
        <v>2.81</v>
      </c>
      <c r="D599" t="n">
        <v>40</v>
      </c>
      <c r="E599" t="n">
        <v>-44</v>
      </c>
      <c r="F599" t="inlineStr">
        <is>
          <t>C3</t>
        </is>
      </c>
      <c r="G599" t="inlineStr">
        <is>
          <t>40.17329714</t>
        </is>
      </c>
      <c r="H599" t="n">
        <v>-44.77532153</v>
      </c>
      <c r="I599" t="inlineStr">
        <is>
          <t>C3</t>
        </is>
      </c>
      <c r="J599" t="n">
        <v>0.2745271016008172</v>
      </c>
      <c r="K599" t="inlineStr"/>
      <c r="L599" t="n">
        <v>0.78768</v>
      </c>
      <c r="M599" t="n">
        <v>0.887760401</v>
      </c>
      <c r="N599" t="inlineStr">
        <is>
          <t>Yes</t>
        </is>
      </c>
      <c r="O599" t="inlineStr">
        <is>
          <t>improve</t>
        </is>
      </c>
      <c r="P599" t="inlineStr">
        <is>
          <t>adjusted decimals</t>
        </is>
      </c>
      <c r="Q599" t="inlineStr"/>
      <c r="R599" t="inlineStr"/>
      <c r="S599">
        <f>HYPERLINK("https://helical-indexing-hi3d.streamlit.app/?emd_id=emd-28042&amp;rise=40.17329714&amp;twist=-44.77532153&amp;csym=3&amp;rise2=40.0&amp;twist2=-44.0&amp;csym2=3", "Link")</f>
        <v/>
      </c>
    </row>
    <row r="600">
      <c r="A600" t="inlineStr">
        <is>
          <t>EMD-24321</t>
        </is>
      </c>
      <c r="B600" t="inlineStr">
        <is>
          <t>non-amyloid</t>
        </is>
      </c>
      <c r="C600" t="n">
        <v>2.82</v>
      </c>
      <c r="D600" t="n">
        <v>27.19</v>
      </c>
      <c r="E600" t="n">
        <v>-166.85</v>
      </c>
      <c r="F600" t="inlineStr">
        <is>
          <t>C1</t>
        </is>
      </c>
      <c r="G600" t="inlineStr">
        <is>
          <t>28.23684766</t>
        </is>
      </c>
      <c r="H600" t="n">
        <v>-166.6935786</v>
      </c>
      <c r="I600" t="inlineStr">
        <is>
          <t>C1</t>
        </is>
      </c>
      <c r="J600" t="n">
        <v>1.047727764165757</v>
      </c>
      <c r="K600" t="inlineStr"/>
      <c r="L600" t="n">
        <v>0.467509816</v>
      </c>
      <c r="M600" t="n">
        <v>0.805427285</v>
      </c>
      <c r="N600" t="inlineStr">
        <is>
          <t>Yes</t>
        </is>
      </c>
      <c r="O600" t="inlineStr">
        <is>
          <t>improve</t>
        </is>
      </c>
      <c r="P600" t="inlineStr">
        <is>
          <t>adjusted decimals</t>
        </is>
      </c>
      <c r="Q600" t="inlineStr"/>
      <c r="R600" t="inlineStr"/>
      <c r="S600">
        <f>HYPERLINK("https://helical-indexing-hi3d.streamlit.app/?emd_id=emd-24321&amp;rise=28.23684766&amp;twist=-166.6935786&amp;csym=1&amp;rise2=27.19&amp;twist2=-166.85&amp;csym2=1", "Link")</f>
        <v/>
      </c>
    </row>
    <row r="601">
      <c r="A601" t="inlineStr">
        <is>
          <t>EMD-17585</t>
        </is>
      </c>
      <c r="B601" t="inlineStr">
        <is>
          <t>non-amyloid</t>
        </is>
      </c>
      <c r="C601" t="n">
        <v>2.83</v>
      </c>
      <c r="D601" t="n">
        <v>15.8</v>
      </c>
      <c r="E601" t="n">
        <v>56</v>
      </c>
      <c r="F601" t="inlineStr">
        <is>
          <t>C1</t>
        </is>
      </c>
      <c r="G601" t="inlineStr">
        <is>
          <t>15.5103</t>
        </is>
      </c>
      <c r="H601" t="n">
        <v>55.98</v>
      </c>
      <c r="I601" t="inlineStr">
        <is>
          <t>C1</t>
        </is>
      </c>
      <c r="J601" t="n">
        <v>0.2897087959900891</v>
      </c>
      <c r="K601" t="inlineStr">
        <is>
          <t>z -&gt; x</t>
        </is>
      </c>
      <c r="L601" t="n">
        <v>0.67053</v>
      </c>
      <c r="M601" t="n">
        <v>0.83565</v>
      </c>
      <c r="N601" t="inlineStr">
        <is>
          <t>Yes</t>
        </is>
      </c>
      <c r="O601" t="inlineStr">
        <is>
          <t>improve</t>
        </is>
      </c>
      <c r="P601" t="inlineStr">
        <is>
          <t>adjusted decimals</t>
        </is>
      </c>
      <c r="Q601" t="inlineStr"/>
      <c r="R601" t="inlineStr"/>
      <c r="S601">
        <f>HYPERLINK("https://helical-indexing-hi3d.streamlit.app/?emd_id=emd-17585&amp;rise=15.5103&amp;twist=55.98&amp;csym=1&amp;rise2=15.8&amp;twist2=56.0&amp;csym2=1", "Link")</f>
        <v/>
      </c>
    </row>
    <row r="602">
      <c r="A602" t="inlineStr">
        <is>
          <t>EMD-17051</t>
        </is>
      </c>
      <c r="B602" t="inlineStr">
        <is>
          <t>non-amyloid</t>
        </is>
      </c>
      <c r="C602" t="n">
        <v>2.83</v>
      </c>
      <c r="D602" t="n">
        <v>4.649</v>
      </c>
      <c r="E602" t="n">
        <v>-46.359</v>
      </c>
      <c r="F602" t="inlineStr">
        <is>
          <t>C1</t>
        </is>
      </c>
      <c r="G602" t="inlineStr">
        <is>
          <t>4.648631284</t>
        </is>
      </c>
      <c r="H602" t="n">
        <v>-46.35881001</v>
      </c>
      <c r="I602" t="inlineStr">
        <is>
          <t>C1</t>
        </is>
      </c>
      <c r="J602" t="n">
        <v>0.000371693</v>
      </c>
      <c r="K602" t="inlineStr"/>
      <c r="L602" t="n">
        <v>0.95973</v>
      </c>
      <c r="M602" t="n">
        <v>0.9597936030000001</v>
      </c>
      <c r="N602" t="inlineStr">
        <is>
          <t>Yes</t>
        </is>
      </c>
      <c r="O602" t="inlineStr">
        <is>
          <t>improve</t>
        </is>
      </c>
      <c r="P602" t="inlineStr">
        <is>
          <t>adjusted decimals</t>
        </is>
      </c>
      <c r="Q602" t="inlineStr"/>
      <c r="R602" t="inlineStr"/>
      <c r="S602">
        <f>HYPERLINK("https://helical-indexing-hi3d.streamlit.app/?emd_id=emd-17051&amp;rise=4.648631284&amp;twist=-46.35881001&amp;csym=1&amp;rise2=4.649&amp;twist2=-46.359&amp;csym2=1", "Link")</f>
        <v/>
      </c>
    </row>
    <row r="603">
      <c r="A603" t="inlineStr">
        <is>
          <t>EMD-24322</t>
        </is>
      </c>
      <c r="B603" t="inlineStr">
        <is>
          <t>non-amyloid</t>
        </is>
      </c>
      <c r="C603" t="n">
        <v>2.83</v>
      </c>
      <c r="D603" t="n">
        <v>27.07</v>
      </c>
      <c r="E603" t="n">
        <v>-166.69</v>
      </c>
      <c r="F603" t="inlineStr">
        <is>
          <t>C1</t>
        </is>
      </c>
      <c r="G603" t="inlineStr">
        <is>
          <t>27.95090871</t>
        </is>
      </c>
      <c r="H603" t="n">
        <v>-166.3368619</v>
      </c>
      <c r="I603" t="inlineStr">
        <is>
          <t>C1</t>
        </is>
      </c>
      <c r="J603" t="n">
        <v>0.8945078452140774</v>
      </c>
      <c r="K603" t="inlineStr"/>
      <c r="L603" t="n">
        <v>0.549147586</v>
      </c>
      <c r="M603" t="n">
        <v>0.757421392</v>
      </c>
      <c r="N603" t="inlineStr">
        <is>
          <t>Yes</t>
        </is>
      </c>
      <c r="O603" t="inlineStr">
        <is>
          <t>improve</t>
        </is>
      </c>
      <c r="P603" t="inlineStr">
        <is>
          <t>adjusted decimals</t>
        </is>
      </c>
      <c r="Q603" t="inlineStr"/>
      <c r="R603" t="inlineStr"/>
      <c r="S603">
        <f>HYPERLINK("https://helical-indexing-hi3d.streamlit.app/?emd_id=emd-24322&amp;rise=27.95090871&amp;twist=-166.3368619&amp;csym=1&amp;rise2=27.07&amp;twist2=-166.69&amp;csym2=1", "Link")</f>
        <v/>
      </c>
    </row>
    <row r="604">
      <c r="A604" t="inlineStr">
        <is>
          <t>EMD-10721</t>
        </is>
      </c>
      <c r="B604" t="inlineStr">
        <is>
          <t>non-amyloid</t>
        </is>
      </c>
      <c r="C604" t="n">
        <v>2.85</v>
      </c>
      <c r="D604" t="n">
        <v>7.85334</v>
      </c>
      <c r="E604" t="n">
        <v>115.001</v>
      </c>
      <c r="F604" t="inlineStr">
        <is>
          <t>C1</t>
        </is>
      </c>
      <c r="G604" t="inlineStr">
        <is>
          <t>7.907729162</t>
        </is>
      </c>
      <c r="H604" t="n">
        <v>115.0033642</v>
      </c>
      <c r="I604" t="inlineStr">
        <is>
          <t>C1</t>
        </is>
      </c>
      <c r="J604" t="n">
        <v>0.054391983411102</v>
      </c>
      <c r="K604" t="inlineStr"/>
      <c r="L604" t="n">
        <v>0.86412</v>
      </c>
      <c r="M604" t="n">
        <v>0.893418005</v>
      </c>
      <c r="N604" t="inlineStr">
        <is>
          <t>Yes</t>
        </is>
      </c>
      <c r="O604" t="inlineStr">
        <is>
          <t>improve</t>
        </is>
      </c>
      <c r="P604" t="inlineStr">
        <is>
          <t>adjusted decimals</t>
        </is>
      </c>
      <c r="Q604" t="inlineStr"/>
      <c r="R604" t="inlineStr"/>
      <c r="S604">
        <f>HYPERLINK("https://helical-indexing-hi3d.streamlit.app/?emd_id=emd-10721&amp;rise=7.907729162&amp;twist=115.0033642&amp;csym=1&amp;rise2=7.85334&amp;twist2=115.001&amp;csym2=1", "Link")</f>
        <v/>
      </c>
    </row>
    <row r="605">
      <c r="A605" t="inlineStr">
        <is>
          <t>EMD-40210</t>
        </is>
      </c>
      <c r="B605" t="inlineStr">
        <is>
          <t>non-amyloid</t>
        </is>
      </c>
      <c r="C605" t="n">
        <v>2.88</v>
      </c>
      <c r="D605" t="n">
        <v>12.933</v>
      </c>
      <c r="E605" t="n">
        <v>37.439</v>
      </c>
      <c r="F605" t="inlineStr">
        <is>
          <t>C1</t>
        </is>
      </c>
      <c r="G605" t="inlineStr"/>
      <c r="H605" t="inlineStr"/>
      <c r="I605" t="inlineStr">
        <is>
          <t>C1</t>
        </is>
      </c>
      <c r="J605" t="inlineStr"/>
      <c r="K605" t="inlineStr"/>
      <c r="L605" t="n">
        <v>0.5683137660000001</v>
      </c>
      <c r="M605" t="n">
        <v>0.446632697</v>
      </c>
      <c r="N605" t="inlineStr">
        <is>
          <t>Excluded</t>
        </is>
      </c>
      <c r="O605" t="inlineStr">
        <is>
          <t>worse</t>
        </is>
      </c>
      <c r="P605" t="inlineStr">
        <is>
          <t>partial map</t>
        </is>
      </c>
      <c r="Q605" t="inlineStr"/>
      <c r="R605" t="inlineStr"/>
      <c r="S605">
        <f>HYPERLINK("https://helical-indexing-hi3d.streamlit.app/?emd_id=emd-40210&amp;rise=nan&amp;twist=nan&amp;csym=1&amp;rise2=12.933&amp;twist2=37.439&amp;csym2=1", "Link")</f>
        <v/>
      </c>
    </row>
    <row r="606">
      <c r="A606" t="inlineStr">
        <is>
          <t>EMD-36428</t>
        </is>
      </c>
      <c r="B606" t="inlineStr">
        <is>
          <t>non-amyloid</t>
        </is>
      </c>
      <c r="C606" t="n">
        <v>2.9</v>
      </c>
      <c r="D606" t="n">
        <v>20.46</v>
      </c>
      <c r="E606" t="n">
        <v>-68.75</v>
      </c>
      <c r="F606" t="inlineStr">
        <is>
          <t>C2</t>
        </is>
      </c>
      <c r="G606" t="inlineStr">
        <is>
          <t>20.46</t>
        </is>
      </c>
      <c r="H606" t="n">
        <v>-68.75</v>
      </c>
      <c r="I606" t="inlineStr">
        <is>
          <t>C2</t>
        </is>
      </c>
      <c r="J606" t="n">
        <v>0</v>
      </c>
      <c r="K606" t="inlineStr">
        <is>
          <t>z -&gt; x</t>
        </is>
      </c>
      <c r="L606" t="n">
        <v>0.96128</v>
      </c>
      <c r="M606" t="n">
        <v>0.96128</v>
      </c>
      <c r="N606" t="inlineStr">
        <is>
          <t>Yes</t>
        </is>
      </c>
      <c r="O606" t="inlineStr">
        <is>
          <t>equal</t>
        </is>
      </c>
      <c r="P606" t="inlineStr">
        <is>
          <t>deposited</t>
        </is>
      </c>
      <c r="Q606" t="inlineStr"/>
      <c r="R606" t="inlineStr"/>
      <c r="S606">
        <f>HYPERLINK("https://helical-indexing-hi3d.streamlit.app/?emd_id=emd-36428&amp;rise=20.46&amp;twist=-68.75&amp;csym=2&amp;rise2=20.46&amp;twist2=-68.75&amp;csym2=2", "Link")</f>
        <v/>
      </c>
    </row>
    <row r="607">
      <c r="A607" t="inlineStr">
        <is>
          <t>EMD-9760</t>
        </is>
      </c>
      <c r="B607" t="inlineStr">
        <is>
          <t>non-amyloid</t>
        </is>
      </c>
      <c r="C607" t="n">
        <v>2.9</v>
      </c>
      <c r="D607" t="n">
        <v>39.3</v>
      </c>
      <c r="E607" t="n">
        <v>19.9</v>
      </c>
      <c r="F607" t="inlineStr">
        <is>
          <t>C6</t>
        </is>
      </c>
      <c r="G607" t="inlineStr">
        <is>
          <t>39.36266715</t>
        </is>
      </c>
      <c r="H607" t="n">
        <v>19.92096562</v>
      </c>
      <c r="I607" t="inlineStr">
        <is>
          <t>C6</t>
        </is>
      </c>
      <c r="J607" t="n">
        <v>0.06322607299999999</v>
      </c>
      <c r="K607" t="inlineStr"/>
      <c r="L607" t="n">
        <v>0.90554</v>
      </c>
      <c r="M607" t="n">
        <v>0.9115871639999999</v>
      </c>
      <c r="N607" t="inlineStr">
        <is>
          <t>Yes</t>
        </is>
      </c>
      <c r="O607" t="inlineStr">
        <is>
          <t>improve</t>
        </is>
      </c>
      <c r="P607" t="inlineStr">
        <is>
          <t>adjusted decimals</t>
        </is>
      </c>
      <c r="Q607" t="inlineStr"/>
      <c r="R607" t="inlineStr"/>
      <c r="S607">
        <f>HYPERLINK("https://helical-indexing-hi3d.streamlit.app/?emd_id=emd-9760&amp;rise=39.36266715&amp;twist=19.92096562&amp;csym=6&amp;rise2=39.3&amp;twist2=19.9&amp;csym2=6", "Link")</f>
        <v/>
      </c>
    </row>
    <row r="608">
      <c r="A608" t="inlineStr">
        <is>
          <t>EMD-28705</t>
        </is>
      </c>
      <c r="B608" t="inlineStr">
        <is>
          <t>non-amyloid</t>
        </is>
      </c>
      <c r="C608" t="n">
        <v>2.9</v>
      </c>
      <c r="D608" t="n">
        <v>2.99</v>
      </c>
      <c r="E608" t="n">
        <v>20</v>
      </c>
      <c r="F608" t="inlineStr">
        <is>
          <t>C1</t>
        </is>
      </c>
      <c r="G608" t="inlineStr">
        <is>
          <t>2.993242469</t>
        </is>
      </c>
      <c r="H608" t="n">
        <v>20.00689166</v>
      </c>
      <c r="I608" t="inlineStr">
        <is>
          <t>C1</t>
        </is>
      </c>
      <c r="J608" t="n">
        <v>0.008282143</v>
      </c>
      <c r="K608" t="inlineStr"/>
      <c r="L608" t="n">
        <v>0.855631669</v>
      </c>
      <c r="M608" t="n">
        <v>0.8621398260000001</v>
      </c>
      <c r="N608" t="inlineStr">
        <is>
          <t>Yes</t>
        </is>
      </c>
      <c r="O608" t="inlineStr">
        <is>
          <t>improve</t>
        </is>
      </c>
      <c r="P608" t="inlineStr">
        <is>
          <t>adjusted decimals</t>
        </is>
      </c>
      <c r="Q608" t="inlineStr"/>
      <c r="R608" t="inlineStr"/>
      <c r="S608">
        <f>HYPERLINK("https://helical-indexing-hi3d.streamlit.app/?emd_id=emd-28705&amp;rise=2.993242469&amp;twist=20.00689166&amp;csym=1&amp;rise2=2.99&amp;twist2=20.0&amp;csym2=1", "Link")</f>
        <v/>
      </c>
    </row>
    <row r="609">
      <c r="A609" t="inlineStr">
        <is>
          <t>EMD-11787</t>
        </is>
      </c>
      <c r="B609" t="inlineStr">
        <is>
          <t>non-amyloid</t>
        </is>
      </c>
      <c r="C609" t="n">
        <v>2.9</v>
      </c>
      <c r="D609" t="n">
        <v>27.5</v>
      </c>
      <c r="E609" t="n">
        <v>166.8</v>
      </c>
      <c r="F609" t="inlineStr">
        <is>
          <t>C1</t>
        </is>
      </c>
      <c r="G609" t="inlineStr"/>
      <c r="H609" t="inlineStr"/>
      <c r="I609" t="inlineStr">
        <is>
          <t>C1</t>
        </is>
      </c>
      <c r="J609" t="inlineStr"/>
      <c r="K609" t="inlineStr"/>
      <c r="L609" t="n">
        <v>0.41158</v>
      </c>
      <c r="M609" t="n">
        <v>0.467046525</v>
      </c>
      <c r="N609" t="inlineStr">
        <is>
          <t>Excluded</t>
        </is>
      </c>
      <c r="O609" t="inlineStr">
        <is>
          <t>improve</t>
        </is>
      </c>
      <c r="P609" t="inlineStr">
        <is>
          <t>focus reconstruction</t>
        </is>
      </c>
      <c r="Q609" t="inlineStr"/>
      <c r="R609" t="inlineStr"/>
      <c r="S609">
        <f>HYPERLINK("https://helical-indexing-hi3d.streamlit.app/?emd_id=emd-11787&amp;rise=nan&amp;twist=nan&amp;csym=1&amp;rise2=27.5&amp;twist2=166.8&amp;csym2=1", "Link")</f>
        <v/>
      </c>
    </row>
    <row r="610">
      <c r="A610" t="inlineStr">
        <is>
          <t>EMD-30129</t>
        </is>
      </c>
      <c r="B610" t="inlineStr">
        <is>
          <t>non-amyloid</t>
        </is>
      </c>
      <c r="C610" t="n">
        <v>2.9</v>
      </c>
      <c r="D610" t="n">
        <v>4.09</v>
      </c>
      <c r="E610" t="n">
        <v>-27.58</v>
      </c>
      <c r="F610" t="inlineStr">
        <is>
          <t>C1</t>
        </is>
      </c>
      <c r="G610" t="inlineStr">
        <is>
          <t>4.096216795</t>
        </is>
      </c>
      <c r="H610" t="n">
        <v>-27.58376025</v>
      </c>
      <c r="I610" t="inlineStr">
        <is>
          <t>C1</t>
        </is>
      </c>
      <c r="J610" t="n">
        <v>0.008377890000000001</v>
      </c>
      <c r="K610" t="inlineStr"/>
      <c r="L610" t="n">
        <v>0.835487303</v>
      </c>
      <c r="M610" t="n">
        <v>0.837926397</v>
      </c>
      <c r="N610" t="inlineStr">
        <is>
          <t>Yes</t>
        </is>
      </c>
      <c r="O610" t="inlineStr">
        <is>
          <t>improve</t>
        </is>
      </c>
      <c r="P610" t="inlineStr">
        <is>
          <t>adjusted decimals</t>
        </is>
      </c>
      <c r="Q610" t="inlineStr"/>
      <c r="R610" t="inlineStr"/>
      <c r="S610">
        <f>HYPERLINK("https://helical-indexing-hi3d.streamlit.app/?emd_id=emd-30129&amp;rise=4.096216795&amp;twist=-27.58376025&amp;csym=1&amp;rise2=4.09&amp;twist2=-27.58&amp;csym2=1", "Link")</f>
        <v/>
      </c>
    </row>
    <row r="611">
      <c r="A611" t="inlineStr">
        <is>
          <t>EMD-28713</t>
        </is>
      </c>
      <c r="B611" t="inlineStr">
        <is>
          <t>non-amyloid</t>
        </is>
      </c>
      <c r="C611" t="n">
        <v>2.9</v>
      </c>
      <c r="D611" t="n">
        <v>3.05</v>
      </c>
      <c r="E611" t="n">
        <v>-20.81</v>
      </c>
      <c r="F611" t="inlineStr">
        <is>
          <t>C1</t>
        </is>
      </c>
      <c r="G611" t="inlineStr">
        <is>
          <t>3.044728147</t>
        </is>
      </c>
      <c r="H611" t="n">
        <v>-20.81613329</v>
      </c>
      <c r="I611" t="inlineStr">
        <is>
          <t>C1</t>
        </is>
      </c>
      <c r="J611" t="n">
        <v>0.008655093000000001</v>
      </c>
      <c r="K611" t="inlineStr"/>
      <c r="L611" t="n">
        <v>0.856703429</v>
      </c>
      <c r="M611" t="n">
        <v>0.857813762</v>
      </c>
      <c r="N611" t="inlineStr">
        <is>
          <t>Yes</t>
        </is>
      </c>
      <c r="O611" t="inlineStr">
        <is>
          <t>improve</t>
        </is>
      </c>
      <c r="P611" t="inlineStr">
        <is>
          <t>adjusted decimals</t>
        </is>
      </c>
      <c r="Q611" t="inlineStr"/>
      <c r="R611" t="inlineStr"/>
      <c r="S611">
        <f>HYPERLINK("https://helical-indexing-hi3d.streamlit.app/?emd_id=emd-28713&amp;rise=3.044728147&amp;twist=-20.81613329&amp;csym=1&amp;rise2=3.05&amp;twist2=-20.81&amp;csym2=1", "Link")</f>
        <v/>
      </c>
    </row>
    <row r="612">
      <c r="A612" t="inlineStr">
        <is>
          <t>EMD-28706</t>
        </is>
      </c>
      <c r="B612" t="inlineStr">
        <is>
          <t>non-amyloid</t>
        </is>
      </c>
      <c r="C612" t="n">
        <v>2.9</v>
      </c>
      <c r="D612" t="n">
        <v>3.05</v>
      </c>
      <c r="E612" t="n">
        <v>-20.81</v>
      </c>
      <c r="F612" t="inlineStr">
        <is>
          <t>C1</t>
        </is>
      </c>
      <c r="G612" t="inlineStr">
        <is>
          <t>3.038639871</t>
        </is>
      </c>
      <c r="H612" t="n">
        <v>-20.82713182</v>
      </c>
      <c r="I612" t="inlineStr">
        <is>
          <t>C1</t>
        </is>
      </c>
      <c r="J612" t="n">
        <v>0.0213839191510633</v>
      </c>
      <c r="K612" t="inlineStr"/>
      <c r="L612" t="n">
        <v>0.838943914</v>
      </c>
      <c r="M612" t="n">
        <v>0.858620447</v>
      </c>
      <c r="N612" t="inlineStr">
        <is>
          <t>Yes</t>
        </is>
      </c>
      <c r="O612" t="inlineStr">
        <is>
          <t>improve</t>
        </is>
      </c>
      <c r="P612" t="inlineStr">
        <is>
          <t>adjusted decimals</t>
        </is>
      </c>
      <c r="Q612" t="inlineStr"/>
      <c r="R612" t="inlineStr"/>
      <c r="S612">
        <f>HYPERLINK("https://helical-indexing-hi3d.streamlit.app/?emd_id=emd-28706&amp;rise=3.038639871&amp;twist=-20.82713182&amp;csym=1&amp;rise2=3.05&amp;twist2=-20.81&amp;csym2=1", "Link")</f>
        <v/>
      </c>
    </row>
    <row r="613">
      <c r="A613" t="inlineStr">
        <is>
          <t>EMD-36427</t>
        </is>
      </c>
      <c r="B613" t="inlineStr">
        <is>
          <t>non-amyloid</t>
        </is>
      </c>
      <c r="C613" t="n">
        <v>2.9</v>
      </c>
      <c r="D613" t="n">
        <v>4.77</v>
      </c>
      <c r="E613" t="n">
        <v>65.40000000000001</v>
      </c>
      <c r="F613" t="inlineStr">
        <is>
          <t>C1</t>
        </is>
      </c>
      <c r="G613" t="inlineStr">
        <is>
          <t>4.77</t>
        </is>
      </c>
      <c r="H613" t="n">
        <v>65.40000000000001</v>
      </c>
      <c r="I613" t="inlineStr">
        <is>
          <t>C1</t>
        </is>
      </c>
      <c r="J613" t="n">
        <v>0</v>
      </c>
      <c r="K613" t="inlineStr">
        <is>
          <t>z -&gt; x</t>
        </is>
      </c>
      <c r="L613" t="n">
        <v>0.94518</v>
      </c>
      <c r="M613" t="n">
        <v>0.94518</v>
      </c>
      <c r="N613" t="inlineStr">
        <is>
          <t>Yes</t>
        </is>
      </c>
      <c r="O613" t="inlineStr">
        <is>
          <t>equal</t>
        </is>
      </c>
      <c r="P613" t="inlineStr">
        <is>
          <t>deposited</t>
        </is>
      </c>
      <c r="Q613" t="inlineStr"/>
      <c r="R613" t="inlineStr"/>
      <c r="S613">
        <f>HYPERLINK("https://helical-indexing-hi3d.streamlit.app/?emd_id=emd-36427&amp;rise=4.77&amp;twist=65.4&amp;csym=1&amp;rise2=4.77&amp;twist2=65.4&amp;csym2=1", "Link")</f>
        <v/>
      </c>
    </row>
    <row r="614">
      <c r="A614" t="inlineStr">
        <is>
          <t>EMD-27991</t>
        </is>
      </c>
      <c r="B614" t="inlineStr">
        <is>
          <t>non-amyloid</t>
        </is>
      </c>
      <c r="C614" t="n">
        <v>2.9</v>
      </c>
      <c r="D614" t="n">
        <v>3.09</v>
      </c>
      <c r="E614" t="n">
        <v>-20.81</v>
      </c>
      <c r="F614" t="inlineStr">
        <is>
          <t>C1</t>
        </is>
      </c>
      <c r="G614" t="inlineStr">
        <is>
          <t>3.051478</t>
        </is>
      </c>
      <c r="H614" t="n">
        <v>-20.82170945</v>
      </c>
      <c r="I614" t="inlineStr">
        <is>
          <t>C1</t>
        </is>
      </c>
      <c r="J614" t="n">
        <v>0.040314164</v>
      </c>
      <c r="K614" t="inlineStr"/>
      <c r="L614" t="n">
        <v>0.785916445</v>
      </c>
      <c r="M614" t="n">
        <v>0.843822835</v>
      </c>
      <c r="N614" t="inlineStr">
        <is>
          <t>Yes</t>
        </is>
      </c>
      <c r="O614" t="inlineStr">
        <is>
          <t>improve</t>
        </is>
      </c>
      <c r="P614" t="inlineStr">
        <is>
          <t>adjusted decimals</t>
        </is>
      </c>
      <c r="Q614" t="inlineStr"/>
      <c r="R614" t="inlineStr"/>
      <c r="S614">
        <f>HYPERLINK("https://helical-indexing-hi3d.streamlit.app/?emd_id=emd-27991&amp;rise=3.051478&amp;twist=-20.82170945&amp;csym=1&amp;rise2=3.09&amp;twist2=-20.81&amp;csym2=1", "Link")</f>
        <v/>
      </c>
    </row>
    <row r="615">
      <c r="A615" t="inlineStr">
        <is>
          <t>EMD-13529</t>
        </is>
      </c>
      <c r="B615" t="inlineStr">
        <is>
          <t>non-amyloid</t>
        </is>
      </c>
      <c r="C615" t="n">
        <v>2.9</v>
      </c>
      <c r="D615" t="inlineStr"/>
      <c r="E615" t="inlineStr"/>
      <c r="F615" t="inlineStr">
        <is>
          <t>C1</t>
        </is>
      </c>
      <c r="G615" t="inlineStr"/>
      <c r="H615" t="inlineStr"/>
      <c r="I615" t="inlineStr">
        <is>
          <t>C1</t>
        </is>
      </c>
      <c r="J615" t="inlineStr"/>
      <c r="K615" t="inlineStr">
        <is>
          <t> </t>
        </is>
      </c>
      <c r="L615" t="inlineStr"/>
      <c r="M615" t="inlineStr"/>
      <c r="N615" t="inlineStr">
        <is>
          <t>No</t>
        </is>
      </c>
      <c r="O615" t="inlineStr"/>
      <c r="P615" t="inlineStr">
        <is>
          <t>single unit</t>
        </is>
      </c>
      <c r="Q615" t="inlineStr"/>
      <c r="R615" t="inlineStr"/>
      <c r="S615">
        <f>HYPERLINK("https://helical-indexing-hi3d.streamlit.app/?emd_id=emd-13529&amp;rise=nan&amp;twist=nan&amp;csym=1&amp;rise2=nan&amp;twist2=nan&amp;csym2=1", "Link")</f>
        <v/>
      </c>
    </row>
    <row r="616">
      <c r="A616" t="inlineStr">
        <is>
          <t>EMD-15346</t>
        </is>
      </c>
      <c r="B616" t="inlineStr">
        <is>
          <t>non-amyloid</t>
        </is>
      </c>
      <c r="C616" t="n">
        <v>2.9</v>
      </c>
      <c r="D616" t="n">
        <v>3.97</v>
      </c>
      <c r="E616" t="n">
        <v>41.29</v>
      </c>
      <c r="F616" t="inlineStr">
        <is>
          <t>C1</t>
        </is>
      </c>
      <c r="G616" t="inlineStr">
        <is>
          <t>3.976590108</t>
        </is>
      </c>
      <c r="H616" t="n">
        <v>-41.30376153</v>
      </c>
      <c r="I616" t="inlineStr">
        <is>
          <t>C1</t>
        </is>
      </c>
      <c r="J616" t="n">
        <v>43.88665297730937</v>
      </c>
      <c r="K616" t="inlineStr">
        <is>
          <t> </t>
        </is>
      </c>
      <c r="L616" t="n">
        <v>0.10264</v>
      </c>
      <c r="M616" t="n">
        <v>0.893506811</v>
      </c>
      <c r="N616" t="inlineStr">
        <is>
          <t>Yes</t>
        </is>
      </c>
      <c r="O616" t="inlineStr">
        <is>
          <t>improve</t>
        </is>
      </c>
      <c r="P616" t="inlineStr">
        <is>
          <t>twist sign</t>
        </is>
      </c>
      <c r="Q616" t="inlineStr"/>
      <c r="R616" t="inlineStr"/>
      <c r="S616">
        <f>HYPERLINK("https://helical-indexing-hi3d.streamlit.app/?emd_id=emd-15346&amp;rise=3.976590108&amp;twist=-41.30376153&amp;csym=1&amp;rise2=3.97&amp;twist2=41.29&amp;csym2=1", "Link")</f>
        <v/>
      </c>
    </row>
    <row r="617">
      <c r="A617" t="inlineStr">
        <is>
          <t>EMD-20844</t>
        </is>
      </c>
      <c r="B617" t="inlineStr">
        <is>
          <t>non-amyloid</t>
        </is>
      </c>
      <c r="C617" t="n">
        <v>2.9</v>
      </c>
      <c r="D617" t="inlineStr"/>
      <c r="E617" t="inlineStr"/>
      <c r="F617" t="inlineStr">
        <is>
          <t>C1</t>
        </is>
      </c>
      <c r="G617" t="inlineStr"/>
      <c r="H617" t="inlineStr"/>
      <c r="I617" t="inlineStr">
        <is>
          <t>C1</t>
        </is>
      </c>
      <c r="J617" t="inlineStr"/>
      <c r="K617" t="inlineStr">
        <is>
          <t>z -&gt; x</t>
        </is>
      </c>
      <c r="L617" t="inlineStr"/>
      <c r="M617" t="inlineStr"/>
      <c r="N617" t="inlineStr">
        <is>
          <t>No</t>
        </is>
      </c>
      <c r="O617" t="inlineStr"/>
      <c r="P617" t="inlineStr">
        <is>
          <t>single unit</t>
        </is>
      </c>
      <c r="Q617" t="inlineStr"/>
      <c r="R617" t="inlineStr"/>
      <c r="S617">
        <f>HYPERLINK("https://helical-indexing-hi3d.streamlit.app/?emd_id=emd-20844&amp;rise=nan&amp;twist=nan&amp;csym=1&amp;rise2=nan&amp;twist2=nan&amp;csym2=1", "Link")</f>
        <v/>
      </c>
    </row>
    <row r="618">
      <c r="A618" t="inlineStr">
        <is>
          <t>EMD-23541</t>
        </is>
      </c>
      <c r="B618" t="inlineStr">
        <is>
          <t>microtubule</t>
        </is>
      </c>
      <c r="C618" t="n">
        <v>2.9</v>
      </c>
      <c r="D618" t="n">
        <v>168.07</v>
      </c>
      <c r="E618" t="n">
        <v>5.44</v>
      </c>
      <c r="F618" t="inlineStr">
        <is>
          <t>C1</t>
        </is>
      </c>
      <c r="G618" t="inlineStr">
        <is>
          <t>168.07</t>
        </is>
      </c>
      <c r="H618" t="n">
        <v>5.44</v>
      </c>
      <c r="I618" t="inlineStr">
        <is>
          <t>C1</t>
        </is>
      </c>
      <c r="J618" t="n">
        <v>0</v>
      </c>
      <c r="K618" t="inlineStr"/>
      <c r="L618" t="n">
        <v>0.997323754</v>
      </c>
      <c r="M618" t="n">
        <v>0.997323754</v>
      </c>
      <c r="N618" t="inlineStr">
        <is>
          <t>Yes</t>
        </is>
      </c>
      <c r="O618" t="inlineStr">
        <is>
          <t>equal</t>
        </is>
      </c>
      <c r="P618" t="inlineStr">
        <is>
          <t>deposited</t>
        </is>
      </c>
      <c r="Q618" t="inlineStr"/>
      <c r="R618" t="inlineStr"/>
      <c r="S618">
        <f>HYPERLINK("https://helical-indexing-hi3d.streamlit.app/?emd_id=emd-23541&amp;rise=168.07&amp;twist=5.44&amp;csym=1&amp;rise2=168.07&amp;twist2=5.44&amp;csym2=1", "Link")</f>
        <v/>
      </c>
    </row>
    <row r="619">
      <c r="A619" t="inlineStr">
        <is>
          <t>EMD-20045</t>
        </is>
      </c>
      <c r="B619" t="inlineStr">
        <is>
          <t>non-amyloid</t>
        </is>
      </c>
      <c r="C619" t="n">
        <v>2.9</v>
      </c>
      <c r="D619" t="n">
        <v>4.24</v>
      </c>
      <c r="E619" t="n">
        <v>63.27</v>
      </c>
      <c r="F619" t="inlineStr">
        <is>
          <t>C1</t>
        </is>
      </c>
      <c r="G619" t="inlineStr">
        <is>
          <t>4.211023805</t>
        </is>
      </c>
      <c r="H619" t="n">
        <v>63.27109072</v>
      </c>
      <c r="I619" t="inlineStr">
        <is>
          <t>C1</t>
        </is>
      </c>
      <c r="J619" t="n">
        <v>0.0289772102502593</v>
      </c>
      <c r="K619" t="inlineStr"/>
      <c r="L619" t="n">
        <v>0.84305</v>
      </c>
      <c r="M619" t="n">
        <v>0.867643117</v>
      </c>
      <c r="N619" t="inlineStr">
        <is>
          <t>Yes</t>
        </is>
      </c>
      <c r="O619" t="inlineStr">
        <is>
          <t>improve</t>
        </is>
      </c>
      <c r="P619" t="inlineStr">
        <is>
          <t>adjusted decimals</t>
        </is>
      </c>
      <c r="Q619" t="inlineStr"/>
      <c r="R619" t="inlineStr"/>
      <c r="S619">
        <f>HYPERLINK("https://helical-indexing-hi3d.streamlit.app/?emd_id=emd-20045&amp;rise=4.211023805&amp;twist=63.27109072&amp;csym=1&amp;rise2=4.24&amp;twist2=63.27&amp;csym2=1", "Link")</f>
        <v/>
      </c>
    </row>
    <row r="620">
      <c r="A620" t="inlineStr">
        <is>
          <t>EMD-13530</t>
        </is>
      </c>
      <c r="B620" t="inlineStr">
        <is>
          <t>non-amyloid</t>
        </is>
      </c>
      <c r="C620" t="n">
        <v>2.9</v>
      </c>
      <c r="D620" t="inlineStr"/>
      <c r="E620" t="inlineStr"/>
      <c r="F620" t="inlineStr"/>
      <c r="G620" t="inlineStr"/>
      <c r="H620" t="inlineStr"/>
      <c r="I620" t="inlineStr">
        <is>
          <t>C1</t>
        </is>
      </c>
      <c r="J620" t="inlineStr"/>
      <c r="K620" t="inlineStr">
        <is>
          <t> </t>
        </is>
      </c>
      <c r="L620" t="inlineStr"/>
      <c r="M620" t="inlineStr"/>
      <c r="N620" t="inlineStr">
        <is>
          <t>Yes</t>
        </is>
      </c>
      <c r="O620" t="inlineStr">
        <is>
          <t>improve</t>
        </is>
      </c>
      <c r="P620" t="inlineStr">
        <is>
          <t>single unit</t>
        </is>
      </c>
      <c r="Q620" t="inlineStr"/>
      <c r="R620" t="inlineStr"/>
      <c r="S620" t="inlineStr"/>
    </row>
    <row r="621">
      <c r="A621" t="inlineStr">
        <is>
          <t>EMD-26995</t>
        </is>
      </c>
      <c r="B621" t="inlineStr">
        <is>
          <t>non-amyloid</t>
        </is>
      </c>
      <c r="C621" t="n">
        <v>2.9</v>
      </c>
      <c r="D621" t="n">
        <v>4.813</v>
      </c>
      <c r="E621" t="n">
        <v>65.539</v>
      </c>
      <c r="F621" t="inlineStr">
        <is>
          <t>C1</t>
        </is>
      </c>
      <c r="G621" t="inlineStr">
        <is>
          <t>4.813</t>
        </is>
      </c>
      <c r="H621" t="n">
        <v>65.539</v>
      </c>
      <c r="I621" t="inlineStr">
        <is>
          <t>C1</t>
        </is>
      </c>
      <c r="J621" t="n">
        <v>0</v>
      </c>
      <c r="K621" t="inlineStr"/>
      <c r="L621" t="n">
        <v>0.961702252</v>
      </c>
      <c r="M621" t="n">
        <v>0.961702252</v>
      </c>
      <c r="N621" t="inlineStr">
        <is>
          <t>Yes</t>
        </is>
      </c>
      <c r="O621" t="inlineStr">
        <is>
          <t>equal</t>
        </is>
      </c>
      <c r="P621" t="inlineStr">
        <is>
          <t>deposited</t>
        </is>
      </c>
      <c r="Q621" t="inlineStr"/>
      <c r="R621" t="inlineStr"/>
      <c r="S621">
        <f>HYPERLINK("https://helical-indexing-hi3d.streamlit.app/?emd_id=emd-26995&amp;rise=4.813&amp;twist=65.539&amp;csym=1&amp;rise2=4.813&amp;twist2=65.539&amp;csym2=1", "Link")</f>
        <v/>
      </c>
    </row>
    <row r="622">
      <c r="A622" t="inlineStr">
        <is>
          <t>EMD-20526</t>
        </is>
      </c>
      <c r="B622" t="inlineStr">
        <is>
          <t>non-amyloid</t>
        </is>
      </c>
      <c r="C622" t="n">
        <v>2.9</v>
      </c>
      <c r="D622" t="n">
        <v>39.46</v>
      </c>
      <c r="E622" t="n">
        <v>18.3</v>
      </c>
      <c r="F622" t="inlineStr">
        <is>
          <t>C6</t>
        </is>
      </c>
      <c r="G622" t="inlineStr">
        <is>
          <t>38.40156454</t>
        </is>
      </c>
      <c r="H622" t="n">
        <v>18.31043675</v>
      </c>
      <c r="I622" t="inlineStr">
        <is>
          <t>C6</t>
        </is>
      </c>
      <c r="J622" t="n">
        <v>1.058446935050398</v>
      </c>
      <c r="K622" t="inlineStr"/>
      <c r="L622" t="n">
        <v>0.296117268</v>
      </c>
      <c r="M622" t="n">
        <v>0.967157865</v>
      </c>
      <c r="N622" t="inlineStr">
        <is>
          <t>Yes</t>
        </is>
      </c>
      <c r="O622" t="inlineStr">
        <is>
          <t>improve</t>
        </is>
      </c>
      <c r="P622" t="inlineStr">
        <is>
          <t>adjusted decimals</t>
        </is>
      </c>
      <c r="Q622" t="inlineStr"/>
      <c r="R622" t="inlineStr"/>
      <c r="S622">
        <f>HYPERLINK("https://helical-indexing-hi3d.streamlit.app/?emd_id=emd-20526&amp;rise=38.40156454&amp;twist=18.31043675&amp;csym=6&amp;rise2=39.46&amp;twist2=18.3&amp;csym2=6", "Link")</f>
        <v/>
      </c>
    </row>
    <row r="623">
      <c r="A623" t="inlineStr">
        <is>
          <t>EMD-9005</t>
        </is>
      </c>
      <c r="B623" t="inlineStr">
        <is>
          <t>non-amyloid</t>
        </is>
      </c>
      <c r="C623" t="n">
        <v>2.9</v>
      </c>
      <c r="D623" t="n">
        <v>3.17</v>
      </c>
      <c r="E623" t="n">
        <v>21.16</v>
      </c>
      <c r="F623" t="inlineStr">
        <is>
          <t>C1</t>
        </is>
      </c>
      <c r="G623" t="inlineStr">
        <is>
          <t>3.17</t>
        </is>
      </c>
      <c r="H623" t="n">
        <v>21.16</v>
      </c>
      <c r="I623" t="inlineStr">
        <is>
          <t>C1</t>
        </is>
      </c>
      <c r="J623" t="n">
        <v>0</v>
      </c>
      <c r="K623" t="inlineStr"/>
      <c r="L623" t="n">
        <v>0.966895779</v>
      </c>
      <c r="M623" t="n">
        <v>0.966895779</v>
      </c>
      <c r="N623" t="inlineStr">
        <is>
          <t>Yes</t>
        </is>
      </c>
      <c r="O623" t="inlineStr">
        <is>
          <t>equal</t>
        </is>
      </c>
      <c r="P623" t="inlineStr">
        <is>
          <t>deposited</t>
        </is>
      </c>
      <c r="Q623" t="inlineStr"/>
      <c r="R623" t="inlineStr"/>
      <c r="S623">
        <f>HYPERLINK("https://helical-indexing-hi3d.streamlit.app/?emd_id=emd-9005&amp;rise=3.17&amp;twist=21.16&amp;csym=1&amp;rise2=3.17&amp;twist2=21.16&amp;csym2=1", "Link")</f>
        <v/>
      </c>
    </row>
    <row r="624">
      <c r="A624" t="inlineStr">
        <is>
          <t>EMD-21934</t>
        </is>
      </c>
      <c r="B624" t="inlineStr">
        <is>
          <t>microtubule</t>
        </is>
      </c>
      <c r="C624" t="n">
        <v>2.9</v>
      </c>
      <c r="D624" t="n">
        <v>5.44</v>
      </c>
      <c r="E624" t="n">
        <v>168.07</v>
      </c>
      <c r="F624" t="inlineStr">
        <is>
          <t>C1</t>
        </is>
      </c>
      <c r="G624" t="inlineStr"/>
      <c r="H624" t="inlineStr"/>
      <c r="I624" t="inlineStr">
        <is>
          <t>C1</t>
        </is>
      </c>
      <c r="J624" t="inlineStr"/>
      <c r="K624" t="inlineStr"/>
      <c r="L624" t="n">
        <v>0.214489477</v>
      </c>
      <c r="M624" t="n">
        <v>0.263289182</v>
      </c>
      <c r="N624" t="inlineStr">
        <is>
          <t>Excluded</t>
        </is>
      </c>
      <c r="O624" t="inlineStr">
        <is>
          <t>improve</t>
        </is>
      </c>
      <c r="P624" t="inlineStr">
        <is>
          <t>partial map</t>
        </is>
      </c>
      <c r="Q624" t="inlineStr"/>
      <c r="R624" t="inlineStr"/>
      <c r="S624">
        <f>HYPERLINK("https://helical-indexing-hi3d.streamlit.app/?emd_id=emd-21934&amp;rise=nan&amp;twist=nan&amp;csym=1&amp;rise2=5.44&amp;twist2=168.07&amp;csym2=1", "Link")</f>
        <v/>
      </c>
    </row>
    <row r="625">
      <c r="A625" t="inlineStr">
        <is>
          <t>EMD-23540</t>
        </is>
      </c>
      <c r="B625" t="inlineStr">
        <is>
          <t>microtubule</t>
        </is>
      </c>
      <c r="C625" t="n">
        <v>2.9</v>
      </c>
      <c r="D625" t="n">
        <v>5.45</v>
      </c>
      <c r="E625" t="n">
        <v>168.09</v>
      </c>
      <c r="F625" t="inlineStr">
        <is>
          <t>C1</t>
        </is>
      </c>
      <c r="G625" t="inlineStr"/>
      <c r="H625" t="inlineStr"/>
      <c r="I625" t="inlineStr">
        <is>
          <t>C1</t>
        </is>
      </c>
      <c r="J625" t="inlineStr"/>
      <c r="K625" t="inlineStr"/>
      <c r="L625" t="n">
        <v>0.20982802</v>
      </c>
      <c r="M625" t="n">
        <v>0.243568174</v>
      </c>
      <c r="N625" t="inlineStr">
        <is>
          <t>Excluded</t>
        </is>
      </c>
      <c r="O625" t="inlineStr">
        <is>
          <t>improve</t>
        </is>
      </c>
      <c r="P625" t="inlineStr">
        <is>
          <t>partial map</t>
        </is>
      </c>
      <c r="Q625" t="inlineStr"/>
      <c r="R625" t="inlineStr"/>
      <c r="S625">
        <f>HYPERLINK("https://helical-indexing-hi3d.streamlit.app/?emd_id=emd-23540&amp;rise=nan&amp;twist=nan&amp;csym=1&amp;rise2=5.45&amp;twist2=168.09&amp;csym2=1", "Link")</f>
        <v/>
      </c>
    </row>
    <row r="626">
      <c r="A626" t="inlineStr">
        <is>
          <t>EMD-29215</t>
        </is>
      </c>
      <c r="B626" t="inlineStr">
        <is>
          <t>non-amyloid</t>
        </is>
      </c>
      <c r="C626" t="n">
        <v>2.9</v>
      </c>
      <c r="D626" t="n">
        <v>5.155</v>
      </c>
      <c r="E626" t="n">
        <v>106.297</v>
      </c>
      <c r="F626" t="inlineStr">
        <is>
          <t>C1</t>
        </is>
      </c>
      <c r="G626" t="inlineStr">
        <is>
          <t>5.155</t>
        </is>
      </c>
      <c r="H626" t="n">
        <v>106.297</v>
      </c>
      <c r="I626" t="inlineStr">
        <is>
          <t>C1</t>
        </is>
      </c>
      <c r="J626" t="n">
        <v>0</v>
      </c>
      <c r="K626" t="inlineStr"/>
      <c r="L626" t="n">
        <v>0.86909</v>
      </c>
      <c r="M626" t="n">
        <v>0.86909</v>
      </c>
      <c r="N626" t="inlineStr">
        <is>
          <t>Yes</t>
        </is>
      </c>
      <c r="O626" t="inlineStr">
        <is>
          <t>equal</t>
        </is>
      </c>
      <c r="P626" t="inlineStr">
        <is>
          <t>deposited</t>
        </is>
      </c>
      <c r="Q626" t="inlineStr"/>
      <c r="R626" t="inlineStr"/>
      <c r="S626">
        <f>HYPERLINK("https://helical-indexing-hi3d.streamlit.app/?emd_id=emd-29215&amp;rise=5.155&amp;twist=106.297&amp;csym=1&amp;rise2=5.155&amp;twist2=106.297&amp;csym2=1", "Link")</f>
        <v/>
      </c>
    </row>
    <row r="627">
      <c r="A627" t="inlineStr">
        <is>
          <t>EMD-28718</t>
        </is>
      </c>
      <c r="B627" t="inlineStr">
        <is>
          <t>non-amyloid</t>
        </is>
      </c>
      <c r="C627" t="n">
        <v>2.9</v>
      </c>
      <c r="D627" t="n">
        <v>3</v>
      </c>
      <c r="E627" t="n">
        <v>20.01</v>
      </c>
      <c r="F627" t="inlineStr">
        <is>
          <t>C1</t>
        </is>
      </c>
      <c r="G627" t="inlineStr">
        <is>
          <t>3.008660183</t>
        </is>
      </c>
      <c r="H627" t="n">
        <v>20.01491648</v>
      </c>
      <c r="I627" t="inlineStr">
        <is>
          <t>C1</t>
        </is>
      </c>
      <c r="J627" t="n">
        <v>0.0101024698465138</v>
      </c>
      <c r="K627" t="inlineStr"/>
      <c r="L627" t="n">
        <v>0.8368443290000001</v>
      </c>
      <c r="M627" t="n">
        <v>0.841329313</v>
      </c>
      <c r="N627" t="inlineStr">
        <is>
          <t>Yes</t>
        </is>
      </c>
      <c r="O627" t="inlineStr">
        <is>
          <t>improve</t>
        </is>
      </c>
      <c r="P627" t="inlineStr">
        <is>
          <t>adjusted decimals</t>
        </is>
      </c>
      <c r="Q627" t="inlineStr"/>
      <c r="R627" t="inlineStr"/>
      <c r="S627">
        <f>HYPERLINK("https://helical-indexing-hi3d.streamlit.app/?emd_id=emd-28718&amp;rise=3.008660183&amp;twist=20.01491648&amp;csym=1&amp;rise2=3.0&amp;twist2=20.01&amp;csym2=1", "Link")</f>
        <v/>
      </c>
    </row>
    <row r="628">
      <c r="A628" t="inlineStr">
        <is>
          <t>EMD-29355</t>
        </is>
      </c>
      <c r="B628" t="inlineStr">
        <is>
          <t>non-amyloid</t>
        </is>
      </c>
      <c r="C628" t="n">
        <v>2.9</v>
      </c>
      <c r="D628" t="n">
        <v>23.93</v>
      </c>
      <c r="E628" t="n">
        <v>-30.56</v>
      </c>
      <c r="F628" t="inlineStr">
        <is>
          <t>C6</t>
        </is>
      </c>
      <c r="G628" t="inlineStr">
        <is>
          <t>23.93</t>
        </is>
      </c>
      <c r="H628" t="n">
        <v>-30.56</v>
      </c>
      <c r="I628" t="inlineStr">
        <is>
          <t>C6</t>
        </is>
      </c>
      <c r="J628" t="n">
        <v>0</v>
      </c>
      <c r="K628" t="inlineStr"/>
      <c r="L628" t="n">
        <v>0.888880045</v>
      </c>
      <c r="M628" t="n">
        <v>0.888880045</v>
      </c>
      <c r="N628" t="inlineStr">
        <is>
          <t>Yes</t>
        </is>
      </c>
      <c r="O628" t="inlineStr">
        <is>
          <t>equal</t>
        </is>
      </c>
      <c r="P628" t="inlineStr">
        <is>
          <t>deposited</t>
        </is>
      </c>
      <c r="Q628" t="inlineStr"/>
      <c r="R628" t="inlineStr"/>
      <c r="S628">
        <f>HYPERLINK("https://helical-indexing-hi3d.streamlit.app/?emd_id=emd-29355&amp;rise=23.93&amp;twist=-30.56&amp;csym=6&amp;rise2=23.93&amp;twist2=-30.56&amp;csym2=6", "Link")</f>
        <v/>
      </c>
    </row>
    <row r="629">
      <c r="A629" t="inlineStr">
        <is>
          <t>EMD-40217</t>
        </is>
      </c>
      <c r="B629" t="inlineStr">
        <is>
          <t>non-amyloid</t>
        </is>
      </c>
      <c r="C629" t="n">
        <v>2.91</v>
      </c>
      <c r="D629" t="n">
        <v>12.933</v>
      </c>
      <c r="E629" t="n">
        <v>37.439</v>
      </c>
      <c r="F629" t="inlineStr">
        <is>
          <t>C1</t>
        </is>
      </c>
      <c r="G629" t="inlineStr"/>
      <c r="H629" t="inlineStr"/>
      <c r="I629" t="inlineStr">
        <is>
          <t>C1</t>
        </is>
      </c>
      <c r="J629" t="inlineStr"/>
      <c r="K629" t="inlineStr"/>
      <c r="L629" t="n">
        <v>0.414243511</v>
      </c>
      <c r="M629" t="n">
        <v>0.360133919</v>
      </c>
      <c r="N629" t="inlineStr">
        <is>
          <t>Excluded</t>
        </is>
      </c>
      <c r="O629" t="inlineStr">
        <is>
          <t>worse</t>
        </is>
      </c>
      <c r="P629" t="inlineStr">
        <is>
          <t>partial map</t>
        </is>
      </c>
      <c r="Q629" t="inlineStr"/>
      <c r="R629" t="inlineStr"/>
      <c r="S629">
        <f>HYPERLINK("https://helical-indexing-hi3d.streamlit.app/?emd_id=emd-40217&amp;rise=nan&amp;twist=nan&amp;csym=1&amp;rise2=12.933&amp;twist2=37.439&amp;csym2=1", "Link")</f>
        <v/>
      </c>
    </row>
    <row r="630">
      <c r="A630" t="inlineStr">
        <is>
          <t>EMD-41579</t>
        </is>
      </c>
      <c r="B630" t="inlineStr">
        <is>
          <t>non-amyloid</t>
        </is>
      </c>
      <c r="C630" t="n">
        <v>2.93</v>
      </c>
      <c r="D630" t="n">
        <v>16.23</v>
      </c>
      <c r="E630" t="n">
        <v>59.2</v>
      </c>
      <c r="F630" t="inlineStr">
        <is>
          <t>C1</t>
        </is>
      </c>
      <c r="G630" t="inlineStr">
        <is>
          <t>16.22</t>
        </is>
      </c>
      <c r="H630" t="n">
        <v>59.16</v>
      </c>
      <c r="I630" t="inlineStr">
        <is>
          <t>C1</t>
        </is>
      </c>
      <c r="J630" t="n">
        <v>0.0136852364451036</v>
      </c>
      <c r="K630" t="inlineStr"/>
      <c r="L630" t="n">
        <v>0.71997</v>
      </c>
      <c r="M630" t="n">
        <v>0.720728086</v>
      </c>
      <c r="N630" t="inlineStr">
        <is>
          <t>No</t>
        </is>
      </c>
      <c r="O630" t="inlineStr">
        <is>
          <t>improve</t>
        </is>
      </c>
      <c r="P630" t="inlineStr">
        <is>
          <t>adjusted decimals</t>
        </is>
      </c>
      <c r="Q630" t="inlineStr"/>
      <c r="R630" t="inlineStr"/>
      <c r="S630">
        <f>HYPERLINK("https://helical-indexing-hi3d.streamlit.app/?emd_id=emd-41579&amp;rise=16.22&amp;twist=59.16&amp;csym=1&amp;rise2=16.23&amp;twist2=59.2&amp;csym2=1", "Link")</f>
        <v/>
      </c>
    </row>
    <row r="631">
      <c r="A631" t="inlineStr">
        <is>
          <t>EMD-40203</t>
        </is>
      </c>
      <c r="B631" t="inlineStr">
        <is>
          <t>non-amyloid</t>
        </is>
      </c>
      <c r="C631" t="n">
        <v>2.95</v>
      </c>
      <c r="D631" t="n">
        <v>12.933</v>
      </c>
      <c r="E631" t="n">
        <v>37.439</v>
      </c>
      <c r="F631" t="inlineStr">
        <is>
          <t>C1</t>
        </is>
      </c>
      <c r="G631" t="inlineStr"/>
      <c r="H631" t="inlineStr"/>
      <c r="I631" t="inlineStr">
        <is>
          <t>C1</t>
        </is>
      </c>
      <c r="J631" t="inlineStr"/>
      <c r="K631" t="inlineStr"/>
      <c r="L631" t="n">
        <v>0.556877175</v>
      </c>
      <c r="M631" t="n">
        <v>0.322390084</v>
      </c>
      <c r="N631" t="inlineStr">
        <is>
          <t>Excluded</t>
        </is>
      </c>
      <c r="O631" t="inlineStr">
        <is>
          <t>worse</t>
        </is>
      </c>
      <c r="P631" t="inlineStr">
        <is>
          <t>partial map</t>
        </is>
      </c>
      <c r="Q631" t="inlineStr"/>
      <c r="R631" t="inlineStr"/>
      <c r="S631">
        <f>HYPERLINK("https://helical-indexing-hi3d.streamlit.app/?emd_id=emd-40203&amp;rise=nan&amp;twist=nan&amp;csym=1&amp;rise2=12.933&amp;twist2=37.439&amp;csym2=1", "Link")</f>
        <v/>
      </c>
    </row>
    <row r="632">
      <c r="A632" t="inlineStr">
        <is>
          <t>EMD-16233</t>
        </is>
      </c>
      <c r="B632" t="inlineStr">
        <is>
          <t>non-amyloid</t>
        </is>
      </c>
      <c r="C632" t="n">
        <v>2.96</v>
      </c>
      <c r="D632" t="n">
        <v>41.87</v>
      </c>
      <c r="E632" t="n">
        <v>128.947</v>
      </c>
      <c r="F632" t="inlineStr">
        <is>
          <t>C2</t>
        </is>
      </c>
      <c r="G632" t="inlineStr">
        <is>
          <t>41.87</t>
        </is>
      </c>
      <c r="H632" t="n">
        <v>128.947</v>
      </c>
      <c r="I632" t="inlineStr">
        <is>
          <t>C2</t>
        </is>
      </c>
      <c r="J632" t="n">
        <v>0</v>
      </c>
      <c r="K632" t="inlineStr"/>
      <c r="L632" t="n">
        <v>0.87077</v>
      </c>
      <c r="M632" t="n">
        <v>0.87077</v>
      </c>
      <c r="N632" t="inlineStr">
        <is>
          <t>Yes</t>
        </is>
      </c>
      <c r="O632" t="inlineStr">
        <is>
          <t>equal</t>
        </is>
      </c>
      <c r="P632" t="inlineStr">
        <is>
          <t>deposited</t>
        </is>
      </c>
      <c r="Q632" t="inlineStr"/>
      <c r="R632" t="inlineStr"/>
      <c r="S632">
        <f>HYPERLINK("https://helical-indexing-hi3d.streamlit.app/?emd_id=emd-16233&amp;rise=41.87&amp;twist=128.947&amp;csym=2&amp;rise2=41.87&amp;twist2=128.947&amp;csym2=2", "Link")</f>
        <v/>
      </c>
    </row>
    <row r="633">
      <c r="A633" t="inlineStr">
        <is>
          <t>EMD-31158</t>
        </is>
      </c>
      <c r="B633" t="inlineStr">
        <is>
          <t>non-amyloid</t>
        </is>
      </c>
      <c r="C633" t="n">
        <v>2.97</v>
      </c>
      <c r="D633" t="n">
        <v>15.8</v>
      </c>
      <c r="E633" t="n">
        <v>56.7</v>
      </c>
      <c r="F633" t="inlineStr">
        <is>
          <t>C1</t>
        </is>
      </c>
      <c r="G633" t="inlineStr">
        <is>
          <t>15.78506738</t>
        </is>
      </c>
      <c r="H633" t="n">
        <v>56.45947811</v>
      </c>
      <c r="I633" t="inlineStr">
        <is>
          <t>C1</t>
        </is>
      </c>
      <c r="J633" t="n">
        <v>0.085531548</v>
      </c>
      <c r="K633" t="inlineStr"/>
      <c r="L633" t="n">
        <v>0.907651032</v>
      </c>
      <c r="M633" t="n">
        <v>0.964613774</v>
      </c>
      <c r="N633" t="inlineStr">
        <is>
          <t>Yes</t>
        </is>
      </c>
      <c r="O633" t="inlineStr">
        <is>
          <t>improve</t>
        </is>
      </c>
      <c r="P633" t="inlineStr">
        <is>
          <t>adjusted decimals</t>
        </is>
      </c>
      <c r="Q633" t="inlineStr"/>
      <c r="R633" t="inlineStr"/>
      <c r="S633">
        <f>HYPERLINK("https://helical-indexing-hi3d.streamlit.app/?emd_id=emd-31158&amp;rise=15.78506738&amp;twist=56.45947811&amp;csym=1&amp;rise2=15.8&amp;twist2=56.7&amp;csym2=1", "Link")</f>
        <v/>
      </c>
    </row>
    <row r="634">
      <c r="A634" t="inlineStr">
        <is>
          <t>EMD-40214</t>
        </is>
      </c>
      <c r="B634" t="inlineStr">
        <is>
          <t>non-amyloid</t>
        </is>
      </c>
      <c r="C634" t="n">
        <v>2.98</v>
      </c>
      <c r="D634" t="n">
        <v>12.933</v>
      </c>
      <c r="E634" t="n">
        <v>37.439</v>
      </c>
      <c r="F634" t="inlineStr">
        <is>
          <t>C1</t>
        </is>
      </c>
      <c r="G634" t="inlineStr"/>
      <c r="H634" t="inlineStr"/>
      <c r="I634" t="inlineStr">
        <is>
          <t>C1</t>
        </is>
      </c>
      <c r="J634" t="inlineStr"/>
      <c r="K634" t="inlineStr"/>
      <c r="L634" t="n">
        <v>0.5780825939999999</v>
      </c>
      <c r="M634" t="n">
        <v>0.632948995</v>
      </c>
      <c r="N634" t="inlineStr">
        <is>
          <t>Excluded</t>
        </is>
      </c>
      <c r="O634" t="inlineStr">
        <is>
          <t>improve</t>
        </is>
      </c>
      <c r="P634" t="inlineStr">
        <is>
          <t>partial map</t>
        </is>
      </c>
      <c r="Q634" t="inlineStr"/>
      <c r="R634" t="inlineStr"/>
      <c r="S634">
        <f>HYPERLINK("https://helical-indexing-hi3d.streamlit.app/?emd_id=emd-40214&amp;rise=nan&amp;twist=nan&amp;csym=1&amp;rise2=12.933&amp;twist2=37.439&amp;csym2=1", "Link")</f>
        <v/>
      </c>
    </row>
    <row r="635">
      <c r="A635" t="inlineStr">
        <is>
          <t>EMD-15520</t>
        </is>
      </c>
      <c r="B635" t="inlineStr">
        <is>
          <t>non-amyloid</t>
        </is>
      </c>
      <c r="C635" t="n">
        <v>2.98</v>
      </c>
      <c r="D635" t="n">
        <v>13.6</v>
      </c>
      <c r="E635" t="n">
        <v>-52.3</v>
      </c>
      <c r="F635" t="inlineStr">
        <is>
          <t>D1</t>
        </is>
      </c>
      <c r="G635" t="inlineStr">
        <is>
          <t>13.6</t>
        </is>
      </c>
      <c r="H635" t="n">
        <v>-52.3</v>
      </c>
      <c r="I635" t="inlineStr">
        <is>
          <t>CD1</t>
        </is>
      </c>
      <c r="J635" t="n">
        <v>0</v>
      </c>
      <c r="K635" t="inlineStr">
        <is>
          <t>z -&gt; x</t>
        </is>
      </c>
      <c r="L635" t="n">
        <v>0.887145256</v>
      </c>
      <c r="M635" t="n">
        <v>0.887145256</v>
      </c>
      <c r="N635" t="inlineStr">
        <is>
          <t>Yes</t>
        </is>
      </c>
      <c r="O635" t="inlineStr">
        <is>
          <t>equal</t>
        </is>
      </c>
      <c r="P635" t="inlineStr">
        <is>
          <t>deposited</t>
        </is>
      </c>
      <c r="Q635" t="inlineStr"/>
      <c r="R635" t="inlineStr"/>
      <c r="S635">
        <f>HYPERLINK("https://helical-indexing-hi3d.streamlit.app/?emd_id=emd-15520&amp;rise=13.6&amp;twist=-52.3&amp;csym=D1&amp;rise2=13.6&amp;twist2=-52.3&amp;csym2=1", "Link")</f>
        <v/>
      </c>
    </row>
    <row r="636">
      <c r="A636" t="inlineStr">
        <is>
          <t>EMD-40198</t>
        </is>
      </c>
      <c r="B636" t="inlineStr">
        <is>
          <t>non-amyloid</t>
        </is>
      </c>
      <c r="C636" t="n">
        <v>2.99</v>
      </c>
      <c r="D636" t="n">
        <v>12.933</v>
      </c>
      <c r="E636" t="n">
        <v>37.439</v>
      </c>
      <c r="F636" t="inlineStr">
        <is>
          <t>C1</t>
        </is>
      </c>
      <c r="G636" t="inlineStr"/>
      <c r="H636" t="inlineStr"/>
      <c r="I636" t="inlineStr">
        <is>
          <t>C1</t>
        </is>
      </c>
      <c r="J636" t="inlineStr"/>
      <c r="K636" t="inlineStr"/>
      <c r="L636" t="n">
        <v>0.644777798</v>
      </c>
      <c r="M636" t="n">
        <v>0.647920783</v>
      </c>
      <c r="N636" t="inlineStr">
        <is>
          <t>Excluded</t>
        </is>
      </c>
      <c r="O636" t="inlineStr">
        <is>
          <t>improve</t>
        </is>
      </c>
      <c r="P636" t="inlineStr">
        <is>
          <t>partial map</t>
        </is>
      </c>
      <c r="Q636" t="inlineStr"/>
      <c r="R636" t="inlineStr"/>
      <c r="S636">
        <f>HYPERLINK("https://helical-indexing-hi3d.streamlit.app/?emd_id=emd-40198&amp;rise=nan&amp;twist=nan&amp;csym=1&amp;rise2=12.933&amp;twist2=37.439&amp;csym2=1", "Link")</f>
        <v/>
      </c>
    </row>
    <row r="637">
      <c r="A637" t="inlineStr">
        <is>
          <t>EMD-17048</t>
        </is>
      </c>
      <c r="B637" t="inlineStr">
        <is>
          <t>non-amyloid</t>
        </is>
      </c>
      <c r="C637" t="n">
        <v>2.99</v>
      </c>
      <c r="D637" t="n">
        <v>3.966</v>
      </c>
      <c r="E637" t="n">
        <v>-40.96</v>
      </c>
      <c r="F637" t="inlineStr">
        <is>
          <t>C1</t>
        </is>
      </c>
      <c r="G637" t="inlineStr">
        <is>
          <t>3.966</t>
        </is>
      </c>
      <c r="H637" t="n">
        <v>-40.96</v>
      </c>
      <c r="I637" t="inlineStr">
        <is>
          <t>C1</t>
        </is>
      </c>
      <c r="J637" t="n">
        <v>0</v>
      </c>
      <c r="K637" t="inlineStr"/>
      <c r="L637" t="n">
        <v>0.97182</v>
      </c>
      <c r="M637" t="n">
        <v>0.97182</v>
      </c>
      <c r="N637" t="inlineStr">
        <is>
          <t>Yes</t>
        </is>
      </c>
      <c r="O637" t="inlineStr">
        <is>
          <t>equal</t>
        </is>
      </c>
      <c r="P637" t="inlineStr">
        <is>
          <t>deposited</t>
        </is>
      </c>
      <c r="Q637" t="inlineStr"/>
      <c r="R637" t="inlineStr"/>
      <c r="S637">
        <f>HYPERLINK("https://helical-indexing-hi3d.streamlit.app/?emd_id=emd-17048&amp;rise=3.966&amp;twist=-40.96&amp;csym=1&amp;rise2=3.966&amp;twist2=-40.96&amp;csym2=1", "Link")</f>
        <v/>
      </c>
    </row>
    <row r="638">
      <c r="A638" t="inlineStr">
        <is>
          <t>EMD-32126</t>
        </is>
      </c>
      <c r="B638" t="inlineStr">
        <is>
          <t>non-amyloid</t>
        </is>
      </c>
      <c r="C638" t="n">
        <v>3</v>
      </c>
      <c r="D638" t="n">
        <v>33.43</v>
      </c>
      <c r="E638" t="n">
        <v>-49.3</v>
      </c>
      <c r="F638" t="inlineStr">
        <is>
          <t>C1</t>
        </is>
      </c>
      <c r="G638" t="inlineStr">
        <is>
          <t>33.02183591</t>
        </is>
      </c>
      <c r="H638" t="n">
        <v>-50.12842156</v>
      </c>
      <c r="I638" t="inlineStr">
        <is>
          <t>C1</t>
        </is>
      </c>
      <c r="J638" t="n">
        <v>0.5080168009643885</v>
      </c>
      <c r="K638" t="inlineStr"/>
      <c r="L638" t="n">
        <v>0.72785</v>
      </c>
      <c r="M638" t="n">
        <v>0.753712008</v>
      </c>
      <c r="N638" t="inlineStr">
        <is>
          <t>Yes</t>
        </is>
      </c>
      <c r="O638" t="inlineStr">
        <is>
          <t>improve</t>
        </is>
      </c>
      <c r="P638" t="inlineStr">
        <is>
          <t>adjusted decimals</t>
        </is>
      </c>
      <c r="Q638" t="inlineStr"/>
      <c r="R638" t="inlineStr"/>
      <c r="S638">
        <f>HYPERLINK("https://helical-indexing-hi3d.streamlit.app/?emd_id=emd-32126&amp;rise=33.02183591&amp;twist=-50.12842156&amp;csym=1&amp;rise2=33.43&amp;twist2=-49.3&amp;csym2=1", "Link")</f>
        <v/>
      </c>
    </row>
    <row r="639">
      <c r="A639" t="inlineStr">
        <is>
          <t>EMD-28707</t>
        </is>
      </c>
      <c r="B639" t="inlineStr">
        <is>
          <t>non-amyloid</t>
        </is>
      </c>
      <c r="C639" t="n">
        <v>3</v>
      </c>
      <c r="D639" t="n">
        <v>2.97</v>
      </c>
      <c r="E639" t="n">
        <v>19.99</v>
      </c>
      <c r="F639" t="inlineStr">
        <is>
          <t>C1</t>
        </is>
      </c>
      <c r="G639" t="inlineStr">
        <is>
          <t>2.97</t>
        </is>
      </c>
      <c r="H639" t="n">
        <v>19.99</v>
      </c>
      <c r="I639" t="inlineStr">
        <is>
          <t>C1</t>
        </is>
      </c>
      <c r="J639" t="n">
        <v>0</v>
      </c>
      <c r="K639" t="inlineStr"/>
      <c r="L639" t="n">
        <v>0.84148773</v>
      </c>
      <c r="M639" t="n">
        <v>0.84148773</v>
      </c>
      <c r="N639" t="inlineStr">
        <is>
          <t>Yes</t>
        </is>
      </c>
      <c r="O639" t="inlineStr">
        <is>
          <t>equal</t>
        </is>
      </c>
      <c r="P639" t="inlineStr">
        <is>
          <t>deposited</t>
        </is>
      </c>
      <c r="Q639" t="inlineStr"/>
      <c r="R639" t="inlineStr"/>
      <c r="S639">
        <f>HYPERLINK("https://helical-indexing-hi3d.streamlit.app/?emd_id=emd-28707&amp;rise=2.97&amp;twist=19.99&amp;csym=1&amp;rise2=2.97&amp;twist2=19.99&amp;csym2=1", "Link")</f>
        <v/>
      </c>
    </row>
    <row r="640">
      <c r="A640" t="inlineStr">
        <is>
          <t>EMD-26079</t>
        </is>
      </c>
      <c r="B640" t="inlineStr">
        <is>
          <t>microtubule</t>
        </is>
      </c>
      <c r="C640" t="n">
        <v>3</v>
      </c>
      <c r="D640" t="n">
        <v>5.55</v>
      </c>
      <c r="E640" t="n">
        <v>168.088</v>
      </c>
      <c r="F640" t="inlineStr">
        <is>
          <t>C1</t>
        </is>
      </c>
      <c r="G640" t="inlineStr"/>
      <c r="H640" t="inlineStr"/>
      <c r="I640" t="inlineStr">
        <is>
          <t>C1</t>
        </is>
      </c>
      <c r="J640" t="inlineStr"/>
      <c r="K640" t="inlineStr"/>
      <c r="L640" t="n">
        <v>0.267817283</v>
      </c>
      <c r="M640" t="n">
        <v>0.249331689</v>
      </c>
      <c r="N640" t="inlineStr">
        <is>
          <t>Excluded</t>
        </is>
      </c>
      <c r="O640" t="inlineStr">
        <is>
          <t>worse</t>
        </is>
      </c>
      <c r="P640" t="inlineStr">
        <is>
          <t>partial map</t>
        </is>
      </c>
      <c r="Q640" t="inlineStr"/>
      <c r="R640" t="inlineStr"/>
      <c r="S640">
        <f>HYPERLINK("https://helical-indexing-hi3d.streamlit.app/?emd_id=emd-26079&amp;rise=nan&amp;twist=nan&amp;csym=1&amp;rise2=5.55&amp;twist2=168.088&amp;csym2=1", "Link")</f>
        <v/>
      </c>
    </row>
    <row r="641">
      <c r="A641" t="inlineStr">
        <is>
          <t>EMD-34681</t>
        </is>
      </c>
      <c r="B641" t="inlineStr">
        <is>
          <t>non-amyloid</t>
        </is>
      </c>
      <c r="C641" t="n">
        <v>3</v>
      </c>
      <c r="D641" t="n">
        <v>37.2</v>
      </c>
      <c r="E641" t="n">
        <v>33.8</v>
      </c>
      <c r="F641" t="inlineStr">
        <is>
          <t>C6</t>
        </is>
      </c>
      <c r="G641" t="inlineStr">
        <is>
          <t>37.07</t>
        </is>
      </c>
      <c r="H641" t="n">
        <v>-33.8</v>
      </c>
      <c r="I641" t="inlineStr">
        <is>
          <t>C6</t>
        </is>
      </c>
      <c r="J641" t="n">
        <v>5.455374343496946</v>
      </c>
      <c r="K641" t="inlineStr"/>
      <c r="L641" t="n">
        <v>0.19386</v>
      </c>
      <c r="M641" t="n">
        <v>0.6704310489999999</v>
      </c>
      <c r="N641" t="inlineStr">
        <is>
          <t>No</t>
        </is>
      </c>
      <c r="O641" t="inlineStr">
        <is>
          <t>improve</t>
        </is>
      </c>
      <c r="P641" t="inlineStr">
        <is>
          <t>twist sign</t>
        </is>
      </c>
      <c r="Q641" t="inlineStr"/>
      <c r="R641" t="inlineStr"/>
      <c r="S641">
        <f>HYPERLINK("https://helical-indexing-hi3d.streamlit.app/?emd_id=emd-34681&amp;rise=37.07&amp;twist=-33.8&amp;csym=6&amp;rise2=37.2&amp;twist2=33.8&amp;csym2=6", "Link")</f>
        <v/>
      </c>
    </row>
    <row r="642">
      <c r="A642" t="inlineStr">
        <is>
          <t>EMD-21938</t>
        </is>
      </c>
      <c r="B642" t="inlineStr">
        <is>
          <t>microtubule</t>
        </is>
      </c>
      <c r="C642" t="n">
        <v>3</v>
      </c>
      <c r="D642" t="n">
        <v>5.45</v>
      </c>
      <c r="E642" t="n">
        <v>168.07</v>
      </c>
      <c r="F642" t="inlineStr">
        <is>
          <t>C1</t>
        </is>
      </c>
      <c r="G642" t="inlineStr"/>
      <c r="H642" t="inlineStr"/>
      <c r="I642" t="inlineStr">
        <is>
          <t>C1</t>
        </is>
      </c>
      <c r="J642" t="inlineStr"/>
      <c r="K642" t="inlineStr"/>
      <c r="L642" t="n">
        <v>0.231646328</v>
      </c>
      <c r="M642" t="n">
        <v>0.273492559</v>
      </c>
      <c r="N642" t="inlineStr">
        <is>
          <t>Excluded</t>
        </is>
      </c>
      <c r="O642" t="inlineStr">
        <is>
          <t>improve</t>
        </is>
      </c>
      <c r="P642" t="inlineStr">
        <is>
          <t>partial map</t>
        </is>
      </c>
      <c r="Q642" t="inlineStr"/>
      <c r="R642" t="inlineStr"/>
      <c r="S642">
        <f>HYPERLINK("https://helical-indexing-hi3d.streamlit.app/?emd_id=emd-21938&amp;rise=nan&amp;twist=nan&amp;csym=1&amp;rise2=5.45&amp;twist2=168.07&amp;csym2=1", "Link")</f>
        <v/>
      </c>
    </row>
    <row r="643">
      <c r="A643" t="inlineStr">
        <is>
          <t>EMD-27059</t>
        </is>
      </c>
      <c r="B643" t="inlineStr">
        <is>
          <t>non-amyloid</t>
        </is>
      </c>
      <c r="C643" t="n">
        <v>3</v>
      </c>
      <c r="D643" t="n">
        <v>4.832</v>
      </c>
      <c r="E643" t="n">
        <v>65.402</v>
      </c>
      <c r="F643" t="inlineStr">
        <is>
          <t>C1</t>
        </is>
      </c>
      <c r="G643" t="inlineStr">
        <is>
          <t>4.832</t>
        </is>
      </c>
      <c r="H643" t="n">
        <v>65.402</v>
      </c>
      <c r="I643" t="inlineStr">
        <is>
          <t>C1</t>
        </is>
      </c>
      <c r="J643" t="n">
        <v>0</v>
      </c>
      <c r="K643" t="inlineStr"/>
      <c r="L643" t="n">
        <v>0.853974025</v>
      </c>
      <c r="M643" t="n">
        <v>0.853974025</v>
      </c>
      <c r="N643" t="inlineStr">
        <is>
          <t>Yes</t>
        </is>
      </c>
      <c r="O643" t="inlineStr">
        <is>
          <t>equal</t>
        </is>
      </c>
      <c r="P643" t="inlineStr">
        <is>
          <t>deposited</t>
        </is>
      </c>
      <c r="Q643" t="inlineStr"/>
      <c r="R643" t="inlineStr"/>
      <c r="S643">
        <f>HYPERLINK("https://helical-indexing-hi3d.streamlit.app/?emd_id=emd-27059&amp;rise=4.832&amp;twist=65.402&amp;csym=1&amp;rise2=4.832&amp;twist2=65.402&amp;csym2=1", "Link")</f>
        <v/>
      </c>
    </row>
    <row r="644">
      <c r="A644" t="inlineStr">
        <is>
          <t>EMD-28714</t>
        </is>
      </c>
      <c r="B644" t="inlineStr">
        <is>
          <t>non-amyloid</t>
        </is>
      </c>
      <c r="C644" t="n">
        <v>3</v>
      </c>
      <c r="D644" t="n">
        <v>2.95</v>
      </c>
      <c r="E644" t="n">
        <v>19.99</v>
      </c>
      <c r="F644" t="inlineStr">
        <is>
          <t>C1</t>
        </is>
      </c>
      <c r="G644" t="inlineStr">
        <is>
          <t>2.95</t>
        </is>
      </c>
      <c r="H644" t="n">
        <v>19.99</v>
      </c>
      <c r="I644" t="inlineStr">
        <is>
          <t>C1</t>
        </is>
      </c>
      <c r="J644" t="n">
        <v>0</v>
      </c>
      <c r="K644" t="inlineStr"/>
      <c r="L644" t="n">
        <v>0.8349264280000001</v>
      </c>
      <c r="M644" t="n">
        <v>0.8349264280000001</v>
      </c>
      <c r="N644" t="inlineStr">
        <is>
          <t>Yes</t>
        </is>
      </c>
      <c r="O644" t="inlineStr">
        <is>
          <t>equal</t>
        </is>
      </c>
      <c r="P644" t="inlineStr">
        <is>
          <t>deposited</t>
        </is>
      </c>
      <c r="Q644" t="inlineStr"/>
      <c r="R644" t="inlineStr"/>
      <c r="S644">
        <f>HYPERLINK("https://helical-indexing-hi3d.streamlit.app/?emd_id=emd-28714&amp;rise=2.95&amp;twist=19.99&amp;csym=1&amp;rise2=2.95&amp;twist2=19.99&amp;csym2=1", "Link")</f>
        <v/>
      </c>
    </row>
    <row r="645">
      <c r="A645" t="inlineStr">
        <is>
          <t>EMD-21944</t>
        </is>
      </c>
      <c r="B645" t="inlineStr">
        <is>
          <t>microtubule</t>
        </is>
      </c>
      <c r="C645" t="n">
        <v>3</v>
      </c>
      <c r="D645" t="n">
        <v>5.42</v>
      </c>
      <c r="E645" t="n">
        <v>168.08</v>
      </c>
      <c r="F645" t="inlineStr">
        <is>
          <t>C1</t>
        </is>
      </c>
      <c r="G645" t="inlineStr"/>
      <c r="H645" t="inlineStr"/>
      <c r="I645" t="inlineStr">
        <is>
          <t>C1</t>
        </is>
      </c>
      <c r="J645" t="inlineStr"/>
      <c r="K645" t="inlineStr"/>
      <c r="L645" t="n">
        <v>0.227897984</v>
      </c>
      <c r="M645" t="n">
        <v>0.242502384</v>
      </c>
      <c r="N645" t="inlineStr">
        <is>
          <t>Excluded</t>
        </is>
      </c>
      <c r="O645" t="inlineStr">
        <is>
          <t>improve</t>
        </is>
      </c>
      <c r="P645" t="inlineStr">
        <is>
          <t>partial map</t>
        </is>
      </c>
      <c r="Q645" t="inlineStr"/>
      <c r="R645" t="inlineStr"/>
      <c r="S645">
        <f>HYPERLINK("https://helical-indexing-hi3d.streamlit.app/?emd_id=emd-21944&amp;rise=nan&amp;twist=nan&amp;csym=1&amp;rise2=5.42&amp;twist2=168.08&amp;csym2=1", "Link")</f>
        <v/>
      </c>
    </row>
    <row r="646">
      <c r="A646" t="inlineStr">
        <is>
          <t>EMD-15669</t>
        </is>
      </c>
      <c r="B646" t="inlineStr">
        <is>
          <t>non-amyloid</t>
        </is>
      </c>
      <c r="C646" t="n">
        <v>3</v>
      </c>
      <c r="D646" t="n">
        <v>39.03</v>
      </c>
      <c r="E646" t="n">
        <v>20.89</v>
      </c>
      <c r="F646" t="inlineStr">
        <is>
          <t>C6</t>
        </is>
      </c>
      <c r="G646" t="inlineStr">
        <is>
          <t>39.03</t>
        </is>
      </c>
      <c r="H646" t="n">
        <v>20.89</v>
      </c>
      <c r="I646" t="inlineStr">
        <is>
          <t>C6</t>
        </is>
      </c>
      <c r="J646" t="n">
        <v>0</v>
      </c>
      <c r="K646" t="inlineStr"/>
      <c r="L646" t="n">
        <v>0.928888448</v>
      </c>
      <c r="M646" t="n">
        <v>0.928888448</v>
      </c>
      <c r="N646" t="inlineStr">
        <is>
          <t>Yes</t>
        </is>
      </c>
      <c r="O646" t="inlineStr">
        <is>
          <t>equal</t>
        </is>
      </c>
      <c r="P646" t="inlineStr">
        <is>
          <t>deposited</t>
        </is>
      </c>
      <c r="Q646" t="inlineStr"/>
      <c r="R646" t="inlineStr"/>
      <c r="S646">
        <f>HYPERLINK("https://helical-indexing-hi3d.streamlit.app/?emd_id=emd-15669&amp;rise=39.03&amp;twist=20.89&amp;csym=6&amp;rise2=39.03&amp;twist2=20.89&amp;csym2=6", "Link")</f>
        <v/>
      </c>
    </row>
    <row r="647">
      <c r="A647" t="inlineStr">
        <is>
          <t>EMD-22639</t>
        </is>
      </c>
      <c r="B647" t="inlineStr">
        <is>
          <t>non-amyloid</t>
        </is>
      </c>
      <c r="C647" t="n">
        <v>3</v>
      </c>
      <c r="D647" t="n">
        <v>27.36914</v>
      </c>
      <c r="E647" t="n">
        <v>-166.57062</v>
      </c>
      <c r="F647" t="inlineStr">
        <is>
          <t>C1</t>
        </is>
      </c>
      <c r="G647" t="inlineStr">
        <is>
          <t>27.34420671</t>
        </is>
      </c>
      <c r="H647" t="n">
        <v>-166.5648455</v>
      </c>
      <c r="I647" t="inlineStr">
        <is>
          <t>C1</t>
        </is>
      </c>
      <c r="J647" t="n">
        <v>0.024983794</v>
      </c>
      <c r="K647" t="inlineStr"/>
      <c r="L647" t="n">
        <v>0.91484</v>
      </c>
      <c r="M647" t="n">
        <v>0.915222463</v>
      </c>
      <c r="N647" t="inlineStr">
        <is>
          <t>Yes</t>
        </is>
      </c>
      <c r="O647" t="inlineStr">
        <is>
          <t>improve</t>
        </is>
      </c>
      <c r="P647" t="inlineStr">
        <is>
          <t>adjusted decimals</t>
        </is>
      </c>
      <c r="Q647" t="inlineStr"/>
      <c r="R647" t="inlineStr"/>
      <c r="S647">
        <f>HYPERLINK("https://helical-indexing-hi3d.streamlit.app/?emd_id=emd-22639&amp;rise=27.34420671&amp;twist=-166.5648455&amp;csym=1&amp;rise2=27.36914&amp;twist2=-166.57062&amp;csym2=1", "Link")</f>
        <v/>
      </c>
    </row>
    <row r="648">
      <c r="A648" t="inlineStr">
        <is>
          <t>EMD-11591</t>
        </is>
      </c>
      <c r="B648" t="inlineStr">
        <is>
          <t>non-amyloid</t>
        </is>
      </c>
      <c r="C648" t="n">
        <v>3</v>
      </c>
      <c r="D648" t="n">
        <v>32.3504</v>
      </c>
      <c r="E648" t="n">
        <v>3.43721</v>
      </c>
      <c r="F648" t="inlineStr">
        <is>
          <t>C1</t>
        </is>
      </c>
      <c r="G648" t="inlineStr">
        <is>
          <t>3.43721</t>
        </is>
      </c>
      <c r="H648" t="n">
        <v>-32.3504</v>
      </c>
      <c r="I648" t="inlineStr">
        <is>
          <t>C1</t>
        </is>
      </c>
      <c r="J648" t="n">
        <v>62.48048681061324</v>
      </c>
      <c r="K648" t="inlineStr">
        <is>
          <t>z -&gt; x</t>
        </is>
      </c>
      <c r="L648" t="n">
        <v>0.4196</v>
      </c>
      <c r="M648" t="n">
        <v>0.90892811</v>
      </c>
      <c r="N648" t="inlineStr">
        <is>
          <t>Yes</t>
        </is>
      </c>
      <c r="O648" t="inlineStr">
        <is>
          <t>improve</t>
        </is>
      </c>
      <c r="P648" t="inlineStr">
        <is>
          <t>interchanged values</t>
        </is>
      </c>
      <c r="Q648" t="inlineStr"/>
      <c r="R648" t="inlineStr"/>
      <c r="S648">
        <f>HYPERLINK("https://helical-indexing-hi3d.streamlit.app/?emd_id=emd-11591&amp;rise=3.43721&amp;twist=-32.3504&amp;csym=1&amp;rise2=32.3504&amp;twist2=3.43721&amp;csym2=1", "Link")</f>
        <v/>
      </c>
    </row>
    <row r="649">
      <c r="A649" t="inlineStr">
        <is>
          <t>EMD-28694</t>
        </is>
      </c>
      <c r="B649" t="inlineStr">
        <is>
          <t>non-amyloid</t>
        </is>
      </c>
      <c r="C649" t="n">
        <v>3</v>
      </c>
      <c r="D649" t="n">
        <v>3.02</v>
      </c>
      <c r="E649" t="n">
        <v>20</v>
      </c>
      <c r="F649" t="inlineStr">
        <is>
          <t>C1</t>
        </is>
      </c>
      <c r="G649" t="inlineStr">
        <is>
          <t>2.982204201</t>
        </is>
      </c>
      <c r="H649" t="n">
        <v>20.00000005</v>
      </c>
      <c r="I649" t="inlineStr">
        <is>
          <t>C1</t>
        </is>
      </c>
      <c r="J649" t="n">
        <v>0.037795799000034</v>
      </c>
      <c r="K649" t="inlineStr"/>
      <c r="L649" t="n">
        <v>0.802792264</v>
      </c>
      <c r="M649" t="n">
        <v>0.838730533</v>
      </c>
      <c r="N649" t="inlineStr">
        <is>
          <t>Yes</t>
        </is>
      </c>
      <c r="O649" t="inlineStr">
        <is>
          <t>improve</t>
        </is>
      </c>
      <c r="P649" t="inlineStr">
        <is>
          <t>adjusted decimals</t>
        </is>
      </c>
      <c r="Q649" t="inlineStr"/>
      <c r="R649" t="inlineStr"/>
      <c r="S649">
        <f>HYPERLINK("https://helical-indexing-hi3d.streamlit.app/?emd_id=emd-28694&amp;rise=2.982204201&amp;twist=20.00000005&amp;csym=1&amp;rise2=3.02&amp;twist2=20.0&amp;csym2=1", "Link")</f>
        <v/>
      </c>
    </row>
    <row r="650">
      <c r="A650" t="inlineStr">
        <is>
          <t>EMD-31155</t>
        </is>
      </c>
      <c r="B650" t="inlineStr">
        <is>
          <t>non-amyloid</t>
        </is>
      </c>
      <c r="C650" t="n">
        <v>3</v>
      </c>
      <c r="D650" t="n">
        <v>15.8</v>
      </c>
      <c r="E650" t="n">
        <v>56.18</v>
      </c>
      <c r="F650" t="inlineStr">
        <is>
          <t>C1</t>
        </is>
      </c>
      <c r="G650" t="inlineStr">
        <is>
          <t>15.46072091</t>
        </is>
      </c>
      <c r="H650" t="n">
        <v>55.96670582</v>
      </c>
      <c r="I650" t="inlineStr">
        <is>
          <t>C1</t>
        </is>
      </c>
      <c r="J650" t="n">
        <v>0.344744877398662</v>
      </c>
      <c r="K650" t="inlineStr"/>
      <c r="L650" t="n">
        <v>0.84977</v>
      </c>
      <c r="M650" t="n">
        <v>0.924477857</v>
      </c>
      <c r="N650" t="inlineStr">
        <is>
          <t>Yes</t>
        </is>
      </c>
      <c r="O650" t="inlineStr">
        <is>
          <t>improve</t>
        </is>
      </c>
      <c r="P650" t="inlineStr">
        <is>
          <t>adjusted decimals</t>
        </is>
      </c>
      <c r="Q650" t="inlineStr"/>
      <c r="R650" t="inlineStr"/>
      <c r="S650">
        <f>HYPERLINK("https://helical-indexing-hi3d.streamlit.app/?emd_id=emd-31155&amp;rise=15.46072091&amp;twist=55.96670582&amp;csym=1&amp;rise2=15.8&amp;twist2=56.18&amp;csym2=1", "Link")</f>
        <v/>
      </c>
    </row>
    <row r="651">
      <c r="A651" t="inlineStr">
        <is>
          <t>EMD-23635</t>
        </is>
      </c>
      <c r="B651" t="inlineStr">
        <is>
          <t>non-amyloid</t>
        </is>
      </c>
      <c r="C651" t="n">
        <v>3</v>
      </c>
      <c r="D651" t="n">
        <v>0.1</v>
      </c>
      <c r="E651" t="n">
        <v>0</v>
      </c>
      <c r="F651" t="inlineStr">
        <is>
          <t>C1</t>
        </is>
      </c>
      <c r="G651" t="inlineStr"/>
      <c r="H651" t="inlineStr"/>
      <c r="I651" t="inlineStr">
        <is>
          <t>C1</t>
        </is>
      </c>
      <c r="J651" t="inlineStr"/>
      <c r="K651" t="inlineStr"/>
      <c r="L651" t="inlineStr"/>
      <c r="M651" t="inlineStr"/>
      <c r="N651" t="inlineStr">
        <is>
          <t>Excluded</t>
        </is>
      </c>
      <c r="O651" t="inlineStr">
        <is>
          <t>equal</t>
        </is>
      </c>
      <c r="P651" t="inlineStr">
        <is>
          <t>focus reconstruction</t>
        </is>
      </c>
      <c r="Q651" t="inlineStr"/>
      <c r="R651" t="inlineStr"/>
      <c r="S651">
        <f>HYPERLINK("https://helical-indexing-hi3d.streamlit.app/?emd_id=emd-23635&amp;rise=nan&amp;twist=nan&amp;csym=1&amp;rise2=0.1&amp;twist2=0.0&amp;csym2=1", "Link")</f>
        <v/>
      </c>
    </row>
    <row r="652">
      <c r="A652" t="inlineStr">
        <is>
          <t>EMD-40060</t>
        </is>
      </c>
      <c r="B652" t="inlineStr">
        <is>
          <t>non-amyloid</t>
        </is>
      </c>
      <c r="C652" t="n">
        <v>3</v>
      </c>
      <c r="D652" t="n">
        <v>4.95</v>
      </c>
      <c r="E652" t="n">
        <v>108.72</v>
      </c>
      <c r="F652" t="inlineStr">
        <is>
          <t>C1</t>
        </is>
      </c>
      <c r="G652" t="inlineStr">
        <is>
          <t>4.95</t>
        </is>
      </c>
      <c r="H652" t="n">
        <v>108.72</v>
      </c>
      <c r="I652" t="inlineStr">
        <is>
          <t>C1</t>
        </is>
      </c>
      <c r="J652" t="n">
        <v>0</v>
      </c>
      <c r="K652" t="inlineStr"/>
      <c r="L652" t="n">
        <v>0.86252</v>
      </c>
      <c r="M652" t="n">
        <v>0.86252</v>
      </c>
      <c r="N652" t="inlineStr">
        <is>
          <t>Yes</t>
        </is>
      </c>
      <c r="O652" t="inlineStr">
        <is>
          <t>equal</t>
        </is>
      </c>
      <c r="P652" t="inlineStr">
        <is>
          <t>deposited</t>
        </is>
      </c>
      <c r="Q652" t="inlineStr"/>
      <c r="R652" t="inlineStr"/>
      <c r="S652">
        <f>HYPERLINK("https://helical-indexing-hi3d.streamlit.app/?emd_id=emd-40060&amp;rise=4.95&amp;twist=108.72&amp;csym=1&amp;rise2=4.95&amp;twist2=108.72&amp;csym2=1", "Link")</f>
        <v/>
      </c>
    </row>
    <row r="653">
      <c r="A653" t="inlineStr">
        <is>
          <t>EMD-29246</t>
        </is>
      </c>
      <c r="B653" t="inlineStr">
        <is>
          <t>non-amyloid</t>
        </is>
      </c>
      <c r="C653" t="n">
        <v>3</v>
      </c>
      <c r="D653" t="n">
        <v>4.976</v>
      </c>
      <c r="E653" t="n">
        <v>104.572</v>
      </c>
      <c r="F653" t="inlineStr">
        <is>
          <t>C1</t>
        </is>
      </c>
      <c r="G653" t="inlineStr">
        <is>
          <t>4.976</t>
        </is>
      </c>
      <c r="H653" t="n">
        <v>104.572</v>
      </c>
      <c r="I653" t="inlineStr">
        <is>
          <t>C1</t>
        </is>
      </c>
      <c r="J653" t="n">
        <v>0</v>
      </c>
      <c r="K653" t="inlineStr"/>
      <c r="L653" t="n">
        <v>0.961103622</v>
      </c>
      <c r="M653" t="n">
        <v>0.961103622</v>
      </c>
      <c r="N653" t="inlineStr">
        <is>
          <t>Yes</t>
        </is>
      </c>
      <c r="O653" t="inlineStr">
        <is>
          <t>equal</t>
        </is>
      </c>
      <c r="P653" t="inlineStr">
        <is>
          <t>deposited</t>
        </is>
      </c>
      <c r="Q653" t="inlineStr"/>
      <c r="R653" t="inlineStr"/>
      <c r="S653">
        <f>HYPERLINK("https://helical-indexing-hi3d.streamlit.app/?emd_id=emd-29246&amp;rise=4.976&amp;twist=104.572&amp;csym=1&amp;rise2=4.976&amp;twist2=104.572&amp;csym2=1", "Link")</f>
        <v/>
      </c>
    </row>
    <row r="654">
      <c r="A654" t="inlineStr">
        <is>
          <t>EMD-41298</t>
        </is>
      </c>
      <c r="B654" t="inlineStr">
        <is>
          <t>non-amyloid</t>
        </is>
      </c>
      <c r="C654" t="n">
        <v>3</v>
      </c>
      <c r="D654" t="n">
        <v>10</v>
      </c>
      <c r="E654" t="n">
        <v>100.7</v>
      </c>
      <c r="F654" t="inlineStr">
        <is>
          <t>C1</t>
        </is>
      </c>
      <c r="G654" t="inlineStr">
        <is>
          <t>10.00679334</t>
        </is>
      </c>
      <c r="H654" t="n">
        <v>100.7533972</v>
      </c>
      <c r="I654" t="inlineStr">
        <is>
          <t>C1</t>
        </is>
      </c>
      <c r="J654" t="n">
        <v>0.0166133307296531</v>
      </c>
      <c r="K654" t="inlineStr"/>
      <c r="L654" t="n">
        <v>0.95058</v>
      </c>
      <c r="M654" t="n">
        <v>0.9600703390000001</v>
      </c>
      <c r="N654" t="inlineStr">
        <is>
          <t>Yes</t>
        </is>
      </c>
      <c r="O654" t="inlineStr">
        <is>
          <t>improve</t>
        </is>
      </c>
      <c r="P654" t="inlineStr">
        <is>
          <t>adjusted decimals</t>
        </is>
      </c>
      <c r="Q654" t="inlineStr"/>
      <c r="R654" t="inlineStr"/>
      <c r="S654">
        <f>HYPERLINK("https://helical-indexing-hi3d.streamlit.app/?emd_id=emd-41298&amp;rise=10.00679334&amp;twist=100.7533972&amp;csym=1&amp;rise2=10.0&amp;twist2=100.7&amp;csym2=1", "Link")</f>
        <v/>
      </c>
    </row>
    <row r="655">
      <c r="A655" t="inlineStr">
        <is>
          <t>EMD-13522</t>
        </is>
      </c>
      <c r="B655" t="inlineStr">
        <is>
          <t>non-amyloid</t>
        </is>
      </c>
      <c r="C655" t="n">
        <v>3</v>
      </c>
      <c r="D655" t="inlineStr"/>
      <c r="E655" t="inlineStr"/>
      <c r="F655" t="inlineStr"/>
      <c r="G655" t="inlineStr"/>
      <c r="H655" t="inlineStr"/>
      <c r="I655" t="inlineStr">
        <is>
          <t>Cnan</t>
        </is>
      </c>
      <c r="J655" t="inlineStr"/>
      <c r="K655" t="inlineStr">
        <is>
          <t> </t>
        </is>
      </c>
      <c r="L655" t="inlineStr"/>
      <c r="M655" t="inlineStr"/>
      <c r="N655" t="inlineStr">
        <is>
          <t>No</t>
        </is>
      </c>
      <c r="O655" t="inlineStr">
        <is>
          <t>improve</t>
        </is>
      </c>
      <c r="P655" t="inlineStr">
        <is>
          <t>single unit</t>
        </is>
      </c>
      <c r="Q655" t="inlineStr"/>
      <c r="R655" t="inlineStr"/>
      <c r="S655" t="inlineStr"/>
    </row>
    <row r="656">
      <c r="A656" t="inlineStr">
        <is>
          <t>EMD-35344</t>
        </is>
      </c>
      <c r="B656" t="inlineStr">
        <is>
          <t>non-amyloid</t>
        </is>
      </c>
      <c r="C656" t="n">
        <v>3.03</v>
      </c>
      <c r="D656" t="n">
        <v>44.02</v>
      </c>
      <c r="E656" t="n">
        <v>0.025</v>
      </c>
      <c r="F656" t="inlineStr">
        <is>
          <t>C1</t>
        </is>
      </c>
      <c r="G656" t="inlineStr">
        <is>
          <t>43.99781143</t>
        </is>
      </c>
      <c r="H656" t="n">
        <v>0.026861149</v>
      </c>
      <c r="I656" t="inlineStr">
        <is>
          <t>C1</t>
        </is>
      </c>
      <c r="J656" t="n">
        <v>0.0221915615974298</v>
      </c>
      <c r="K656" t="inlineStr"/>
      <c r="L656" t="n">
        <v>0.8938700000000001</v>
      </c>
      <c r="M656" t="n">
        <v>0.893879709</v>
      </c>
      <c r="N656" t="inlineStr">
        <is>
          <t>Yes</t>
        </is>
      </c>
      <c r="O656" t="inlineStr">
        <is>
          <t>improve</t>
        </is>
      </c>
      <c r="P656" t="inlineStr">
        <is>
          <t>adjusted decimals</t>
        </is>
      </c>
      <c r="Q656" t="inlineStr"/>
      <c r="R656" t="inlineStr"/>
      <c r="S656">
        <f>HYPERLINK("https://helical-indexing-hi3d.streamlit.app/?emd_id=emd-35344&amp;rise=43.99781143&amp;twist=0.026861149&amp;csym=1&amp;rise2=44.02&amp;twist2=0.025&amp;csym2=1", "Link")</f>
        <v/>
      </c>
    </row>
    <row r="657">
      <c r="A657" t="inlineStr">
        <is>
          <t>EMD-17057</t>
        </is>
      </c>
      <c r="B657" t="inlineStr">
        <is>
          <t>non-amyloid</t>
        </is>
      </c>
      <c r="C657" t="n">
        <v>3.06</v>
      </c>
      <c r="D657" t="n">
        <v>4.97426</v>
      </c>
      <c r="E657" t="n">
        <v>-44.4305</v>
      </c>
      <c r="F657" t="inlineStr">
        <is>
          <t>C1</t>
        </is>
      </c>
      <c r="G657" t="inlineStr">
        <is>
          <t>4.973082397</t>
        </is>
      </c>
      <c r="H657" t="n">
        <v>-44.43025841</v>
      </c>
      <c r="I657" t="inlineStr">
        <is>
          <t>C1</t>
        </is>
      </c>
      <c r="J657" t="n">
        <v>0.001177785</v>
      </c>
      <c r="K657" t="inlineStr"/>
      <c r="L657" t="n">
        <v>0.8426900000000001</v>
      </c>
      <c r="M657" t="n">
        <v>0.847017573</v>
      </c>
      <c r="N657" t="inlineStr">
        <is>
          <t>Yes</t>
        </is>
      </c>
      <c r="O657" t="inlineStr">
        <is>
          <t>improve</t>
        </is>
      </c>
      <c r="P657" t="inlineStr">
        <is>
          <t>adjusted decimals</t>
        </is>
      </c>
      <c r="Q657" t="inlineStr"/>
      <c r="R657" t="inlineStr"/>
      <c r="S657">
        <f>HYPERLINK("https://helical-indexing-hi3d.streamlit.app/?emd_id=emd-17057&amp;rise=4.973082397&amp;twist=-44.43025841&amp;csym=1&amp;rise2=4.97426&amp;twist2=-44.4305&amp;csym2=1", "Link")</f>
        <v/>
      </c>
    </row>
    <row r="658">
      <c r="A658" t="inlineStr">
        <is>
          <t>EMD-40212</t>
        </is>
      </c>
      <c r="B658" t="inlineStr">
        <is>
          <t>non-amyloid</t>
        </is>
      </c>
      <c r="C658" t="n">
        <v>3.08</v>
      </c>
      <c r="D658" t="n">
        <v>12.933</v>
      </c>
      <c r="E658" t="n">
        <v>37.439</v>
      </c>
      <c r="F658" t="inlineStr">
        <is>
          <t>C1</t>
        </is>
      </c>
      <c r="G658" t="inlineStr"/>
      <c r="H658" t="inlineStr"/>
      <c r="I658" t="inlineStr">
        <is>
          <t>C1</t>
        </is>
      </c>
      <c r="J658" t="inlineStr"/>
      <c r="K658" t="inlineStr"/>
      <c r="L658" t="n">
        <v>0.550185752</v>
      </c>
      <c r="M658" t="n">
        <v>0.603110538</v>
      </c>
      <c r="N658" t="inlineStr">
        <is>
          <t>Excluded</t>
        </is>
      </c>
      <c r="O658" t="inlineStr">
        <is>
          <t>improve</t>
        </is>
      </c>
      <c r="P658" t="inlineStr">
        <is>
          <t>partial map</t>
        </is>
      </c>
      <c r="Q658" t="inlineStr"/>
      <c r="R658" t="inlineStr"/>
      <c r="S658">
        <f>HYPERLINK("https://helical-indexing-hi3d.streamlit.app/?emd_id=emd-40212&amp;rise=nan&amp;twist=nan&amp;csym=1&amp;rise2=12.933&amp;twist2=37.439&amp;csym2=1", "Link")</f>
        <v/>
      </c>
    </row>
    <row r="659">
      <c r="A659" t="inlineStr">
        <is>
          <t>EMD-12875</t>
        </is>
      </c>
      <c r="B659" t="inlineStr">
        <is>
          <t>non-amyloid</t>
        </is>
      </c>
      <c r="C659" t="n">
        <v>3.08</v>
      </c>
      <c r="D659" t="n">
        <v>33.4</v>
      </c>
      <c r="E659" t="n">
        <v>-71.8</v>
      </c>
      <c r="F659" t="inlineStr">
        <is>
          <t>C1</t>
        </is>
      </c>
      <c r="G659" t="inlineStr">
        <is>
          <t>33.4</t>
        </is>
      </c>
      <c r="H659" t="n">
        <v>-71.8</v>
      </c>
      <c r="I659" t="inlineStr">
        <is>
          <t>C1</t>
        </is>
      </c>
      <c r="J659" t="n">
        <v>0</v>
      </c>
      <c r="K659" t="inlineStr"/>
      <c r="L659" t="n">
        <v>0.93677</v>
      </c>
      <c r="M659" t="n">
        <v>0.93677</v>
      </c>
      <c r="N659" t="inlineStr">
        <is>
          <t>Yes</t>
        </is>
      </c>
      <c r="O659" t="inlineStr">
        <is>
          <t>equal</t>
        </is>
      </c>
      <c r="P659" t="inlineStr">
        <is>
          <t>deposited</t>
        </is>
      </c>
      <c r="Q659" t="inlineStr"/>
      <c r="R659" t="inlineStr"/>
      <c r="S659">
        <f>HYPERLINK("https://helical-indexing-hi3d.streamlit.app/?emd_id=emd-12875&amp;rise=33.4&amp;twist=-71.8&amp;csym=1&amp;rise2=33.4&amp;twist2=-71.8&amp;csym2=1", "Link")</f>
        <v/>
      </c>
    </row>
    <row r="660">
      <c r="A660" t="inlineStr">
        <is>
          <t>EMD-17050</t>
        </is>
      </c>
      <c r="B660" t="inlineStr">
        <is>
          <t>non-amyloid</t>
        </is>
      </c>
      <c r="C660" t="n">
        <v>3.09</v>
      </c>
      <c r="D660" t="n">
        <v>4.05</v>
      </c>
      <c r="E660" t="n">
        <v>-41.05</v>
      </c>
      <c r="F660" t="inlineStr">
        <is>
          <t>C1</t>
        </is>
      </c>
      <c r="G660" t="inlineStr">
        <is>
          <t>4.052075906</t>
        </is>
      </c>
      <c r="H660" t="n">
        <v>-41.04541126</v>
      </c>
      <c r="I660" t="inlineStr">
        <is>
          <t>C1</t>
        </is>
      </c>
      <c r="J660" t="n">
        <v>0.002372954</v>
      </c>
      <c r="K660" t="inlineStr"/>
      <c r="L660" t="n">
        <v>0.9545</v>
      </c>
      <c r="M660" t="n">
        <v>0.954502384</v>
      </c>
      <c r="N660" t="inlineStr">
        <is>
          <t>Yes</t>
        </is>
      </c>
      <c r="O660" t="inlineStr">
        <is>
          <t>improve</t>
        </is>
      </c>
      <c r="P660" t="inlineStr">
        <is>
          <t>adjusted decimals</t>
        </is>
      </c>
      <c r="Q660" t="inlineStr"/>
      <c r="R660" t="inlineStr"/>
      <c r="S660">
        <f>HYPERLINK("https://helical-indexing-hi3d.streamlit.app/?emd_id=emd-17050&amp;rise=4.052075906&amp;twist=-41.04541126&amp;csym=1&amp;rise2=4.05&amp;twist2=-41.05&amp;csym2=1", "Link")</f>
        <v/>
      </c>
    </row>
    <row r="661">
      <c r="A661" t="inlineStr">
        <is>
          <t>EMD-4897</t>
        </is>
      </c>
      <c r="B661" t="inlineStr">
        <is>
          <t>non-amyloid</t>
        </is>
      </c>
      <c r="C661" t="n">
        <v>3.1</v>
      </c>
      <c r="D661" t="n">
        <v>24.998</v>
      </c>
      <c r="E661" t="n">
        <v>116.265</v>
      </c>
      <c r="F661" t="inlineStr">
        <is>
          <t>C1</t>
        </is>
      </c>
      <c r="G661" t="inlineStr"/>
      <c r="H661" t="inlineStr"/>
      <c r="I661" t="inlineStr">
        <is>
          <t>Cnan</t>
        </is>
      </c>
      <c r="J661" t="inlineStr"/>
      <c r="K661" t="inlineStr"/>
      <c r="L661" t="n">
        <v>0.222535801</v>
      </c>
      <c r="M661" t="n">
        <v>0.644482632</v>
      </c>
      <c r="N661" t="inlineStr">
        <is>
          <t>Excluded</t>
        </is>
      </c>
      <c r="O661" t="inlineStr">
        <is>
          <t>improve</t>
        </is>
      </c>
      <c r="P661" t="inlineStr">
        <is>
          <t>focus reconstruction</t>
        </is>
      </c>
      <c r="Q661" t="inlineStr"/>
      <c r="R661" t="inlineStr"/>
      <c r="S661">
        <f>HYPERLINK("https://helical-indexing-hi3d.streamlit.app/?emd_id=emd-4897&amp;rise=nan&amp;twist=nan&amp;csym=nan&amp;rise2=24.998&amp;twist2=116.265&amp;csym2=1", "Link")</f>
        <v/>
      </c>
    </row>
    <row r="662">
      <c r="A662" t="inlineStr">
        <is>
          <t>EMD-11158</t>
        </is>
      </c>
      <c r="B662" t="inlineStr">
        <is>
          <t>non-amyloid</t>
        </is>
      </c>
      <c r="C662" t="n">
        <v>3.1</v>
      </c>
      <c r="D662" t="n">
        <v>16.36</v>
      </c>
      <c r="E662" t="n">
        <v>-67.31</v>
      </c>
      <c r="F662" t="inlineStr">
        <is>
          <t>C1</t>
        </is>
      </c>
      <c r="G662" t="inlineStr">
        <is>
          <t>16.33079353</t>
        </is>
      </c>
      <c r="H662" t="n">
        <v>-67.31674307999999</v>
      </c>
      <c r="I662" t="inlineStr">
        <is>
          <t>C1</t>
        </is>
      </c>
      <c r="J662" t="n">
        <v>0.0294980283951034</v>
      </c>
      <c r="K662" t="inlineStr"/>
      <c r="L662" t="n">
        <v>0.7551</v>
      </c>
      <c r="M662" t="n">
        <v>0.756362206</v>
      </c>
      <c r="N662" t="inlineStr">
        <is>
          <t>Yes</t>
        </is>
      </c>
      <c r="O662" t="inlineStr">
        <is>
          <t>improve</t>
        </is>
      </c>
      <c r="P662" t="inlineStr">
        <is>
          <t>adjusted decimals</t>
        </is>
      </c>
      <c r="Q662" t="inlineStr"/>
      <c r="R662" t="inlineStr"/>
      <c r="S662">
        <f>HYPERLINK("https://helical-indexing-hi3d.streamlit.app/?emd_id=emd-11158&amp;rise=16.33079353&amp;twist=-67.31674308&amp;csym=1&amp;rise2=16.36&amp;twist2=-67.31&amp;csym2=1", "Link")</f>
        <v/>
      </c>
    </row>
    <row r="663">
      <c r="A663" t="inlineStr">
        <is>
          <t>EMD-20589</t>
        </is>
      </c>
      <c r="B663" t="inlineStr">
        <is>
          <t>non-amyloid</t>
        </is>
      </c>
      <c r="C663" t="n">
        <v>3.1</v>
      </c>
      <c r="D663" t="n">
        <v>3.06</v>
      </c>
      <c r="E663" t="n">
        <v>-20.77</v>
      </c>
      <c r="F663" t="inlineStr">
        <is>
          <t>C1</t>
        </is>
      </c>
      <c r="G663" t="inlineStr">
        <is>
          <t>3.068931421</t>
        </is>
      </c>
      <c r="H663" t="n">
        <v>-20.76922964</v>
      </c>
      <c r="I663" t="inlineStr">
        <is>
          <t>C1</t>
        </is>
      </c>
      <c r="J663" t="n">
        <v>0.008952827</v>
      </c>
      <c r="K663" t="inlineStr"/>
      <c r="L663" t="n">
        <v>0.93675</v>
      </c>
      <c r="M663" t="n">
        <v>0.963312018</v>
      </c>
      <c r="N663" t="inlineStr">
        <is>
          <t>Yes</t>
        </is>
      </c>
      <c r="O663" t="inlineStr">
        <is>
          <t>improve</t>
        </is>
      </c>
      <c r="P663" t="inlineStr">
        <is>
          <t>adjusted decimals</t>
        </is>
      </c>
      <c r="Q663" t="inlineStr"/>
      <c r="R663" t="inlineStr"/>
      <c r="S663">
        <f>HYPERLINK("https://helical-indexing-hi3d.streamlit.app/?emd_id=emd-20589&amp;rise=3.068931421&amp;twist=-20.76922964&amp;csym=1&amp;rise2=3.06&amp;twist2=-20.77&amp;csym2=1", "Link")</f>
        <v/>
      </c>
    </row>
    <row r="664">
      <c r="A664" t="inlineStr">
        <is>
          <t>EMD-4405</t>
        </is>
      </c>
      <c r="B664" t="inlineStr">
        <is>
          <t>non-amyloid</t>
        </is>
      </c>
      <c r="C664" t="n">
        <v>3.1</v>
      </c>
      <c r="D664" t="n">
        <v>5.98</v>
      </c>
      <c r="E664" t="n">
        <v>98.01000000000001</v>
      </c>
      <c r="F664" t="inlineStr">
        <is>
          <t>C1</t>
        </is>
      </c>
      <c r="G664" t="inlineStr">
        <is>
          <t>5.978601159</t>
        </is>
      </c>
      <c r="H664" t="n">
        <v>-98.01282571</v>
      </c>
      <c r="I664" t="inlineStr">
        <is>
          <t>C1</t>
        </is>
      </c>
      <c r="J664" t="n">
        <v>29.84230650364662</v>
      </c>
      <c r="K664" t="inlineStr">
        <is>
          <t> </t>
        </is>
      </c>
      <c r="L664" t="n">
        <v>0.19981</v>
      </c>
      <c r="M664" t="n">
        <v>0.652306519</v>
      </c>
      <c r="N664" t="inlineStr">
        <is>
          <t>Excluded</t>
        </is>
      </c>
      <c r="O664" t="inlineStr">
        <is>
          <t>improve</t>
        </is>
      </c>
      <c r="P664" t="inlineStr">
        <is>
          <t>focus reconstruction</t>
        </is>
      </c>
      <c r="Q664" t="inlineStr"/>
      <c r="R664" t="inlineStr"/>
      <c r="S664">
        <f>HYPERLINK("https://helical-indexing-hi3d.streamlit.app/?emd_id=emd-4405&amp;rise=5.978601159&amp;twist=-98.01282571&amp;csym=1&amp;rise2=5.98&amp;twist2=98.01&amp;csym2=1", "Link")</f>
        <v/>
      </c>
    </row>
    <row r="665">
      <c r="A665" t="inlineStr">
        <is>
          <t>EMD-21943</t>
        </is>
      </c>
      <c r="B665" t="inlineStr">
        <is>
          <t>microtubule</t>
        </is>
      </c>
      <c r="C665" t="n">
        <v>3.1</v>
      </c>
      <c r="D665" t="n">
        <v>5.45</v>
      </c>
      <c r="E665" t="n">
        <v>168.09</v>
      </c>
      <c r="F665" t="inlineStr">
        <is>
          <t>C1</t>
        </is>
      </c>
      <c r="G665" t="inlineStr"/>
      <c r="H665" t="inlineStr"/>
      <c r="I665" t="inlineStr">
        <is>
          <t>C1</t>
        </is>
      </c>
      <c r="J665" t="inlineStr"/>
      <c r="K665" t="inlineStr"/>
      <c r="L665" t="n">
        <v>0.242422641</v>
      </c>
      <c r="M665" t="n">
        <v>0.25200972</v>
      </c>
      <c r="N665" t="inlineStr">
        <is>
          <t>Excluded</t>
        </is>
      </c>
      <c r="O665" t="inlineStr">
        <is>
          <t>improve</t>
        </is>
      </c>
      <c r="P665" t="inlineStr">
        <is>
          <t>partial map</t>
        </is>
      </c>
      <c r="Q665" t="inlineStr"/>
      <c r="R665" t="inlineStr"/>
      <c r="S665">
        <f>HYPERLINK("https://helical-indexing-hi3d.streamlit.app/?emd_id=emd-21943&amp;rise=nan&amp;twist=nan&amp;csym=1&amp;rise2=5.45&amp;twist2=168.09&amp;csym2=1", "Link")</f>
        <v/>
      </c>
    </row>
    <row r="666">
      <c r="A666" t="inlineStr">
        <is>
          <t>EMD-27156</t>
        </is>
      </c>
      <c r="B666" t="inlineStr">
        <is>
          <t>non-amyloid</t>
        </is>
      </c>
      <c r="C666" t="n">
        <v>3.1</v>
      </c>
      <c r="D666" t="n">
        <v>26.8</v>
      </c>
      <c r="E666" t="n">
        <v>83.3</v>
      </c>
      <c r="F666" t="inlineStr">
        <is>
          <t>C1</t>
        </is>
      </c>
      <c r="G666" t="inlineStr">
        <is>
          <t>27.42385</t>
        </is>
      </c>
      <c r="H666" t="n">
        <v>82.64259</v>
      </c>
      <c r="I666" t="inlineStr">
        <is>
          <t>C1</t>
        </is>
      </c>
      <c r="J666" t="n">
        <v>0.7001556199905987</v>
      </c>
      <c r="K666" t="inlineStr"/>
      <c r="L666" t="n">
        <v>0.601835382</v>
      </c>
      <c r="M666" t="n">
        <v>0.932356067</v>
      </c>
      <c r="N666" t="inlineStr">
        <is>
          <t>Yes</t>
        </is>
      </c>
      <c r="O666" t="inlineStr">
        <is>
          <t>improve</t>
        </is>
      </c>
      <c r="P666" t="inlineStr">
        <is>
          <t>adjusted decimals</t>
        </is>
      </c>
      <c r="Q666" t="inlineStr"/>
      <c r="R666" t="inlineStr"/>
      <c r="S666">
        <f>HYPERLINK("https://helical-indexing-hi3d.streamlit.app/?emd_id=emd-27156&amp;rise=27.42385&amp;twist=82.64259&amp;csym=1&amp;rise2=26.8&amp;twist2=83.3&amp;csym2=1", "Link")</f>
        <v/>
      </c>
    </row>
    <row r="667">
      <c r="A667" t="inlineStr">
        <is>
          <t>EMD-7937</t>
        </is>
      </c>
      <c r="B667" t="inlineStr">
        <is>
          <t>non-amyloid</t>
        </is>
      </c>
      <c r="C667" t="n">
        <v>3.1</v>
      </c>
      <c r="D667" t="n">
        <v>27.42</v>
      </c>
      <c r="E667" t="n">
        <v>-166.56</v>
      </c>
      <c r="F667" t="inlineStr">
        <is>
          <t>C1</t>
        </is>
      </c>
      <c r="G667" t="inlineStr">
        <is>
          <t>27.48</t>
        </is>
      </c>
      <c r="H667" t="n">
        <v>-166.64</v>
      </c>
      <c r="I667" t="inlineStr">
        <is>
          <t>C1</t>
        </is>
      </c>
      <c r="J667" t="n">
        <v>0.063576011</v>
      </c>
      <c r="K667" t="inlineStr"/>
      <c r="L667" t="n">
        <v>0.89789</v>
      </c>
      <c r="M667" t="n">
        <v>0.912100789</v>
      </c>
      <c r="N667" t="inlineStr">
        <is>
          <t>Yes</t>
        </is>
      </c>
      <c r="O667" t="inlineStr">
        <is>
          <t>improve</t>
        </is>
      </c>
      <c r="P667" t="inlineStr">
        <is>
          <t>adjusted decimals</t>
        </is>
      </c>
      <c r="Q667" t="inlineStr"/>
      <c r="R667" t="inlineStr"/>
      <c r="S667">
        <f>HYPERLINK("https://helical-indexing-hi3d.streamlit.app/?emd_id=emd-7937&amp;rise=27.48&amp;twist=-166.64&amp;csym=1&amp;rise2=27.42&amp;twist2=-166.56&amp;csym2=1", "Link")</f>
        <v/>
      </c>
    </row>
    <row r="668">
      <c r="A668" t="inlineStr">
        <is>
          <t>EMD-28696</t>
        </is>
      </c>
      <c r="B668" t="inlineStr">
        <is>
          <t>non-amyloid</t>
        </is>
      </c>
      <c r="C668" t="n">
        <v>3.1</v>
      </c>
      <c r="D668" t="n">
        <v>3</v>
      </c>
      <c r="E668" t="n">
        <v>19.99</v>
      </c>
      <c r="F668" t="inlineStr">
        <is>
          <t>C1</t>
        </is>
      </c>
      <c r="G668" t="inlineStr">
        <is>
          <t>2.959530931</t>
        </is>
      </c>
      <c r="H668" t="n">
        <v>19.96296199</v>
      </c>
      <c r="I668" t="inlineStr">
        <is>
          <t>C1</t>
        </is>
      </c>
      <c r="J668" t="n">
        <v>0.050250472</v>
      </c>
      <c r="K668" t="inlineStr"/>
      <c r="L668" t="n">
        <v>0.777221493</v>
      </c>
      <c r="M668" t="n">
        <v>0.829718087</v>
      </c>
      <c r="N668" t="inlineStr">
        <is>
          <t>Yes</t>
        </is>
      </c>
      <c r="O668" t="inlineStr">
        <is>
          <t>improve</t>
        </is>
      </c>
      <c r="P668" t="inlineStr">
        <is>
          <t>adjusted decimals</t>
        </is>
      </c>
      <c r="Q668" t="inlineStr"/>
      <c r="R668" t="inlineStr"/>
      <c r="S668">
        <f>HYPERLINK("https://helical-indexing-hi3d.streamlit.app/?emd_id=emd-28696&amp;rise=2.959530931&amp;twist=19.96296199&amp;csym=1&amp;rise2=3.0&amp;twist2=19.99&amp;csym2=1", "Link")</f>
        <v/>
      </c>
    </row>
    <row r="669">
      <c r="A669" t="inlineStr">
        <is>
          <t>EMD-7936</t>
        </is>
      </c>
      <c r="B669" t="inlineStr">
        <is>
          <t>non-amyloid</t>
        </is>
      </c>
      <c r="C669" t="n">
        <v>3.1</v>
      </c>
      <c r="D669" t="n">
        <v>27.4</v>
      </c>
      <c r="E669" t="n">
        <v>-166.61</v>
      </c>
      <c r="F669" t="inlineStr">
        <is>
          <t>C1</t>
        </is>
      </c>
      <c r="G669" t="inlineStr">
        <is>
          <t>27.37</t>
        </is>
      </c>
      <c r="H669" t="n">
        <v>-166.59</v>
      </c>
      <c r="I669" t="inlineStr">
        <is>
          <t>C1</t>
        </is>
      </c>
      <c r="J669" t="n">
        <v>0.0304535797547322</v>
      </c>
      <c r="K669" t="inlineStr"/>
      <c r="L669" t="n">
        <v>0.89672</v>
      </c>
      <c r="M669" t="n">
        <v>0.906271101</v>
      </c>
      <c r="N669" t="inlineStr">
        <is>
          <t>Yes</t>
        </is>
      </c>
      <c r="O669" t="inlineStr">
        <is>
          <t>improve</t>
        </is>
      </c>
      <c r="P669" t="inlineStr">
        <is>
          <t>adjusted decimals</t>
        </is>
      </c>
      <c r="Q669" t="inlineStr"/>
      <c r="R669" t="inlineStr"/>
      <c r="S669">
        <f>HYPERLINK("https://helical-indexing-hi3d.streamlit.app/?emd_id=emd-7936&amp;rise=27.37&amp;twist=-166.59&amp;csym=1&amp;rise2=27.4&amp;twist2=-166.61&amp;csym2=1", "Link")</f>
        <v/>
      </c>
    </row>
    <row r="670">
      <c r="A670" t="inlineStr">
        <is>
          <t>EMD-22364</t>
        </is>
      </c>
      <c r="B670" t="inlineStr">
        <is>
          <t>non-amyloid</t>
        </is>
      </c>
      <c r="C670" t="n">
        <v>3.1</v>
      </c>
      <c r="D670" t="n">
        <v>43.1</v>
      </c>
      <c r="E670" t="n">
        <v>50.34</v>
      </c>
      <c r="F670" t="inlineStr">
        <is>
          <t>C2</t>
        </is>
      </c>
      <c r="G670" t="inlineStr">
        <is>
          <t>43.1</t>
        </is>
      </c>
      <c r="H670" t="n">
        <v>50.34</v>
      </c>
      <c r="I670" t="inlineStr">
        <is>
          <t>C2</t>
        </is>
      </c>
      <c r="J670" t="n">
        <v>0</v>
      </c>
      <c r="K670" t="inlineStr"/>
      <c r="L670" t="n">
        <v>0.967320746</v>
      </c>
      <c r="M670" t="n">
        <v>0.967320746</v>
      </c>
      <c r="N670" t="inlineStr">
        <is>
          <t>Yes</t>
        </is>
      </c>
      <c r="O670" t="inlineStr">
        <is>
          <t>equal</t>
        </is>
      </c>
      <c r="P670" t="inlineStr">
        <is>
          <t>deposited</t>
        </is>
      </c>
      <c r="Q670" t="inlineStr"/>
      <c r="R670" t="inlineStr"/>
      <c r="S670">
        <f>HYPERLINK("https://helical-indexing-hi3d.streamlit.app/?emd_id=emd-22364&amp;rise=43.1&amp;twist=50.34&amp;csym=2&amp;rise2=43.1&amp;twist2=50.34&amp;csym2=2", "Link")</f>
        <v/>
      </c>
    </row>
    <row r="671">
      <c r="A671" t="inlineStr">
        <is>
          <t>EMD-28703</t>
        </is>
      </c>
      <c r="B671" t="inlineStr">
        <is>
          <t>non-amyloid</t>
        </is>
      </c>
      <c r="C671" t="n">
        <v>3.1</v>
      </c>
      <c r="D671" t="n">
        <v>2.93</v>
      </c>
      <c r="E671" t="n">
        <v>19.97</v>
      </c>
      <c r="F671" t="inlineStr">
        <is>
          <t>C1</t>
        </is>
      </c>
      <c r="G671" t="inlineStr">
        <is>
          <t>2.92197252</t>
        </is>
      </c>
      <c r="H671" t="n">
        <v>19.93925036</v>
      </c>
      <c r="I671" t="inlineStr">
        <is>
          <t>C1</t>
        </is>
      </c>
      <c r="J671" t="n">
        <v>0.0379793502582387</v>
      </c>
      <c r="K671" t="inlineStr"/>
      <c r="L671" t="n">
        <v>0.824995157</v>
      </c>
      <c r="M671" t="n">
        <v>0.890975473</v>
      </c>
      <c r="N671" t="inlineStr">
        <is>
          <t>Yes</t>
        </is>
      </c>
      <c r="O671" t="inlineStr">
        <is>
          <t>improve</t>
        </is>
      </c>
      <c r="P671" t="inlineStr">
        <is>
          <t>adjusted decimals</t>
        </is>
      </c>
      <c r="Q671" t="inlineStr"/>
      <c r="R671" t="inlineStr"/>
      <c r="S671">
        <f>HYPERLINK("https://helical-indexing-hi3d.streamlit.app/?emd_id=emd-28703&amp;rise=2.92197252&amp;twist=19.93925036&amp;csym=1&amp;rise2=2.93&amp;twist2=19.97&amp;csym2=1", "Link")</f>
        <v/>
      </c>
    </row>
    <row r="672">
      <c r="A672" t="inlineStr">
        <is>
          <t>EMD-26595</t>
        </is>
      </c>
      <c r="B672" t="inlineStr">
        <is>
          <t>non-amyloid</t>
        </is>
      </c>
      <c r="C672" t="n">
        <v>3.1</v>
      </c>
      <c r="D672" t="n">
        <v>21.582</v>
      </c>
      <c r="E672" t="n">
        <v>-48.258</v>
      </c>
      <c r="F672" t="inlineStr">
        <is>
          <t>C1</t>
        </is>
      </c>
      <c r="G672" t="inlineStr"/>
      <c r="H672" t="inlineStr"/>
      <c r="I672" t="inlineStr">
        <is>
          <t>C1</t>
        </is>
      </c>
      <c r="J672" t="inlineStr"/>
      <c r="K672" t="inlineStr"/>
      <c r="L672" t="n">
        <v>0.24044</v>
      </c>
      <c r="M672" t="n">
        <v>0.73885008</v>
      </c>
      <c r="N672" t="inlineStr">
        <is>
          <t>Excluded</t>
        </is>
      </c>
      <c r="O672" t="inlineStr">
        <is>
          <t>improve</t>
        </is>
      </c>
      <c r="P672" t="inlineStr">
        <is>
          <t>focus reconstruction</t>
        </is>
      </c>
      <c r="Q672" t="inlineStr"/>
      <c r="R672" t="inlineStr"/>
      <c r="S672">
        <f>HYPERLINK("https://helical-indexing-hi3d.streamlit.app/?emd_id=emd-26595&amp;rise=nan&amp;twist=nan&amp;csym=1&amp;rise2=21.582&amp;twist2=-48.258&amp;csym2=1", "Link")</f>
        <v/>
      </c>
    </row>
    <row r="673">
      <c r="A673" t="inlineStr">
        <is>
          <t>EMD-0522</t>
        </is>
      </c>
      <c r="B673" t="inlineStr">
        <is>
          <t>non-amyloid</t>
        </is>
      </c>
      <c r="C673" t="n">
        <v>3.1</v>
      </c>
      <c r="D673" t="n">
        <v>2.84</v>
      </c>
      <c r="E673" t="n">
        <v>-14.71</v>
      </c>
      <c r="F673" t="inlineStr">
        <is>
          <t>C1</t>
        </is>
      </c>
      <c r="G673" t="inlineStr">
        <is>
          <t>2.881</t>
        </is>
      </c>
      <c r="H673" t="n">
        <v>-14.727</v>
      </c>
      <c r="I673" t="inlineStr">
        <is>
          <t>C1</t>
        </is>
      </c>
      <c r="J673" t="n">
        <v>0.050936287</v>
      </c>
      <c r="K673" t="inlineStr"/>
      <c r="L673" t="n">
        <v>0.49212</v>
      </c>
      <c r="M673" t="n">
        <v>0.89229</v>
      </c>
      <c r="N673" t="inlineStr">
        <is>
          <t>Yes</t>
        </is>
      </c>
      <c r="O673" t="inlineStr">
        <is>
          <t>improve</t>
        </is>
      </c>
      <c r="P673" t="inlineStr">
        <is>
          <t>adjusted decimals</t>
        </is>
      </c>
      <c r="Q673" t="inlineStr"/>
      <c r="R673" t="inlineStr"/>
      <c r="S673">
        <f>HYPERLINK("https://helical-indexing-hi3d.streamlit.app/?emd_id=emd-0522&amp;rise=2.881&amp;twist=-14.727&amp;csym=1&amp;rise2=2.84&amp;twist2=-14.71&amp;csym2=1", "Link")</f>
        <v/>
      </c>
    </row>
    <row r="674">
      <c r="A674" t="inlineStr">
        <is>
          <t>EMD-28700</t>
        </is>
      </c>
      <c r="B674" t="inlineStr">
        <is>
          <t>non-amyloid</t>
        </is>
      </c>
      <c r="C674" t="n">
        <v>3.1</v>
      </c>
      <c r="D674" t="n">
        <v>3.07</v>
      </c>
      <c r="E674" t="n">
        <v>-20.81</v>
      </c>
      <c r="F674" t="inlineStr">
        <is>
          <t>C1</t>
        </is>
      </c>
      <c r="G674" t="inlineStr">
        <is>
          <t>3.062751656</t>
        </is>
      </c>
      <c r="H674" t="n">
        <v>-20.82589622</v>
      </c>
      <c r="I674" t="inlineStr">
        <is>
          <t>C1</t>
        </is>
      </c>
      <c r="J674" t="n">
        <v>0.0203715175644035</v>
      </c>
      <c r="K674" t="inlineStr"/>
      <c r="L674" t="n">
        <v>0.878695013</v>
      </c>
      <c r="M674" t="n">
        <v>0.89859626</v>
      </c>
      <c r="N674" t="inlineStr">
        <is>
          <t>Yes</t>
        </is>
      </c>
      <c r="O674" t="inlineStr">
        <is>
          <t>improve</t>
        </is>
      </c>
      <c r="P674" t="inlineStr">
        <is>
          <t>adjusted decimals</t>
        </is>
      </c>
      <c r="Q674" t="inlineStr"/>
      <c r="R674" t="inlineStr"/>
      <c r="S674">
        <f>HYPERLINK("https://helical-indexing-hi3d.streamlit.app/?emd_id=emd-28700&amp;rise=3.062751656&amp;twist=-20.82589622&amp;csym=1&amp;rise2=3.07&amp;twist2=-20.81&amp;csym2=1", "Link")</f>
        <v/>
      </c>
    </row>
    <row r="675">
      <c r="A675" t="inlineStr">
        <is>
          <t>EMD-28789</t>
        </is>
      </c>
      <c r="B675" t="inlineStr">
        <is>
          <t>microtubule</t>
        </is>
      </c>
      <c r="C675" t="n">
        <v>3.1</v>
      </c>
      <c r="D675" t="n">
        <v>5.62</v>
      </c>
      <c r="E675" t="n">
        <v>168.09</v>
      </c>
      <c r="F675" t="inlineStr">
        <is>
          <t>C1</t>
        </is>
      </c>
      <c r="G675" t="inlineStr"/>
      <c r="H675" t="inlineStr"/>
      <c r="I675" t="inlineStr">
        <is>
          <t>C1</t>
        </is>
      </c>
      <c r="J675" t="inlineStr"/>
      <c r="K675" t="inlineStr"/>
      <c r="L675" t="n">
        <v>0.211484058</v>
      </c>
      <c r="M675" t="n">
        <v>0.207527295</v>
      </c>
      <c r="N675" t="inlineStr">
        <is>
          <t>Excluded</t>
        </is>
      </c>
      <c r="O675" t="inlineStr">
        <is>
          <t>worse</t>
        </is>
      </c>
      <c r="P675" t="inlineStr">
        <is>
          <t>partial map</t>
        </is>
      </c>
      <c r="Q675" t="inlineStr"/>
      <c r="R675" t="inlineStr"/>
      <c r="S675">
        <f>HYPERLINK("https://helical-indexing-hi3d.streamlit.app/?emd_id=emd-28789&amp;rise=nan&amp;twist=nan&amp;csym=1&amp;rise2=5.62&amp;twist2=168.09&amp;csym2=1", "Link")</f>
        <v/>
      </c>
    </row>
    <row r="676">
      <c r="A676" t="inlineStr">
        <is>
          <t>EMD-27064</t>
        </is>
      </c>
      <c r="B676" t="inlineStr">
        <is>
          <t>non-amyloid</t>
        </is>
      </c>
      <c r="C676" t="n">
        <v>3.1</v>
      </c>
      <c r="D676" t="n">
        <v>4.82</v>
      </c>
      <c r="E676" t="n">
        <v>65.40300000000001</v>
      </c>
      <c r="F676" t="inlineStr">
        <is>
          <t>C1</t>
        </is>
      </c>
      <c r="G676" t="inlineStr">
        <is>
          <t>4.82</t>
        </is>
      </c>
      <c r="H676" t="n">
        <v>65.40300000000001</v>
      </c>
      <c r="I676" t="inlineStr">
        <is>
          <t>C1</t>
        </is>
      </c>
      <c r="J676" t="n">
        <v>0</v>
      </c>
      <c r="K676" t="inlineStr"/>
      <c r="L676" t="n">
        <v>0.96904523</v>
      </c>
      <c r="M676" t="n">
        <v>0.96904523</v>
      </c>
      <c r="N676" t="inlineStr">
        <is>
          <t>Yes</t>
        </is>
      </c>
      <c r="O676" t="inlineStr">
        <is>
          <t>equal</t>
        </is>
      </c>
      <c r="P676" t="inlineStr">
        <is>
          <t>deposited</t>
        </is>
      </c>
      <c r="Q676" t="inlineStr"/>
      <c r="R676" t="inlineStr"/>
      <c r="S676">
        <f>HYPERLINK("https://helical-indexing-hi3d.streamlit.app/?emd_id=emd-27064&amp;rise=4.82&amp;twist=65.403&amp;csym=1&amp;rise2=4.82&amp;twist2=65.403&amp;csym2=1", "Link")</f>
        <v/>
      </c>
    </row>
    <row r="677">
      <c r="A677" t="inlineStr">
        <is>
          <t>EMD-28704</t>
        </is>
      </c>
      <c r="B677" t="inlineStr">
        <is>
          <t>non-amyloid</t>
        </is>
      </c>
      <c r="C677" t="n">
        <v>3.1</v>
      </c>
      <c r="D677" t="n">
        <v>3.07</v>
      </c>
      <c r="E677" t="n">
        <v>-20.83</v>
      </c>
      <c r="F677" t="inlineStr">
        <is>
          <t>C1</t>
        </is>
      </c>
      <c r="G677" t="inlineStr">
        <is>
          <t>3.060729289</t>
        </is>
      </c>
      <c r="H677" t="n">
        <v>-20.81983939</v>
      </c>
      <c r="I677" t="inlineStr">
        <is>
          <t>C1</t>
        </is>
      </c>
      <c r="J677" t="n">
        <v>0.0145934590065908</v>
      </c>
      <c r="K677" t="inlineStr"/>
      <c r="L677" t="n">
        <v>0.834845394</v>
      </c>
      <c r="M677" t="n">
        <v>0.841147856</v>
      </c>
      <c r="N677" t="inlineStr">
        <is>
          <t>Yes</t>
        </is>
      </c>
      <c r="O677" t="inlineStr">
        <is>
          <t>improve</t>
        </is>
      </c>
      <c r="P677" t="inlineStr">
        <is>
          <t>adjusted decimals</t>
        </is>
      </c>
      <c r="Q677" t="inlineStr"/>
      <c r="R677" t="inlineStr"/>
      <c r="S677">
        <f>HYPERLINK("https://helical-indexing-hi3d.streamlit.app/?emd_id=emd-28704&amp;rise=3.060729289&amp;twist=-20.81983939&amp;csym=1&amp;rise2=3.07&amp;twist2=-20.83&amp;csym2=1", "Link")</f>
        <v/>
      </c>
    </row>
    <row r="678">
      <c r="A678" t="inlineStr">
        <is>
          <t>EMD-21939</t>
        </is>
      </c>
      <c r="B678" t="inlineStr">
        <is>
          <t>microtubule</t>
        </is>
      </c>
      <c r="C678" t="n">
        <v>3.1</v>
      </c>
      <c r="D678" t="n">
        <v>5.47</v>
      </c>
      <c r="E678" t="n">
        <v>168.09</v>
      </c>
      <c r="F678" t="inlineStr">
        <is>
          <t>C1</t>
        </is>
      </c>
      <c r="G678" t="inlineStr"/>
      <c r="H678" t="inlineStr"/>
      <c r="I678" t="inlineStr">
        <is>
          <t>C1</t>
        </is>
      </c>
      <c r="J678" t="inlineStr"/>
      <c r="K678" t="inlineStr"/>
      <c r="L678" t="n">
        <v>0.23114</v>
      </c>
      <c r="M678" t="n">
        <v>0.606322489</v>
      </c>
      <c r="N678" t="inlineStr">
        <is>
          <t>Excluded</t>
        </is>
      </c>
      <c r="O678" t="inlineStr">
        <is>
          <t>improve</t>
        </is>
      </c>
      <c r="P678" t="inlineStr">
        <is>
          <t>partial map</t>
        </is>
      </c>
      <c r="Q678" t="inlineStr"/>
      <c r="R678" t="inlineStr"/>
      <c r="S678">
        <f>HYPERLINK("https://helical-indexing-hi3d.streamlit.app/?emd_id=emd-21939&amp;rise=nan&amp;twist=nan&amp;csym=1&amp;rise2=5.47&amp;twist2=168.09&amp;csym2=1", "Link")</f>
        <v/>
      </c>
    </row>
    <row r="679">
      <c r="A679" t="inlineStr">
        <is>
          <t>EMD-26078</t>
        </is>
      </c>
      <c r="B679" t="inlineStr">
        <is>
          <t>microtubule</t>
        </is>
      </c>
      <c r="C679" t="n">
        <v>3.1</v>
      </c>
      <c r="D679" t="n">
        <v>5.54</v>
      </c>
      <c r="E679" t="n">
        <v>168.084</v>
      </c>
      <c r="F679" t="inlineStr">
        <is>
          <t>C1</t>
        </is>
      </c>
      <c r="G679" t="inlineStr"/>
      <c r="H679" t="inlineStr"/>
      <c r="I679" t="inlineStr">
        <is>
          <t>C1</t>
        </is>
      </c>
      <c r="J679" t="inlineStr"/>
      <c r="K679" t="inlineStr"/>
      <c r="L679" t="n">
        <v>0.22621</v>
      </c>
      <c r="M679" t="n">
        <v>0.502867636</v>
      </c>
      <c r="N679" t="inlineStr">
        <is>
          <t>Excluded</t>
        </is>
      </c>
      <c r="O679" t="inlineStr">
        <is>
          <t>improve</t>
        </is>
      </c>
      <c r="P679" t="inlineStr">
        <is>
          <t>partial map</t>
        </is>
      </c>
      <c r="Q679" t="inlineStr"/>
      <c r="R679" t="inlineStr"/>
      <c r="S679">
        <f>HYPERLINK("https://helical-indexing-hi3d.streamlit.app/?emd_id=emd-26078&amp;rise=nan&amp;twist=nan&amp;csym=1&amp;rise2=5.54&amp;twist2=168.084&amp;csym2=1", "Link")</f>
        <v/>
      </c>
    </row>
    <row r="680">
      <c r="A680" t="inlineStr">
        <is>
          <t>EMD-7973</t>
        </is>
      </c>
      <c r="B680" t="inlineStr">
        <is>
          <t>microtubule</t>
        </is>
      </c>
      <c r="C680" t="n">
        <v>3.1</v>
      </c>
      <c r="D680" t="n">
        <v>8.99</v>
      </c>
      <c r="E680" t="n">
        <v>-25.75</v>
      </c>
      <c r="F680" t="inlineStr">
        <is>
          <t>C1</t>
        </is>
      </c>
      <c r="G680" t="inlineStr">
        <is>
          <t>3</t>
        </is>
      </c>
      <c r="H680" t="n">
        <v>-128.59</v>
      </c>
      <c r="I680" t="inlineStr">
        <is>
          <t>C1</t>
        </is>
      </c>
      <c r="J680" t="n">
        <v>9.850241503419699</v>
      </c>
      <c r="K680" t="inlineStr"/>
      <c r="L680" t="n">
        <v>0.614192109</v>
      </c>
      <c r="M680" t="n">
        <v>0.752332141</v>
      </c>
      <c r="N680" t="inlineStr">
        <is>
          <t>Yes</t>
        </is>
      </c>
      <c r="O680" t="inlineStr">
        <is>
          <t>improve</t>
        </is>
      </c>
      <c r="P680" t="inlineStr">
        <is>
          <t>different</t>
        </is>
      </c>
      <c r="Q680" t="inlineStr">
        <is>
          <t>partial symmetry</t>
        </is>
      </c>
      <c r="R680" t="inlineStr"/>
      <c r="S680">
        <f>HYPERLINK("https://helical-indexing-hi3d.streamlit.app/?emd_id=emd-7973&amp;rise=3&amp;twist=-128.59&amp;csym=1&amp;rise2=8.99&amp;twist2=-25.75&amp;csym2=1", "Link")</f>
        <v/>
      </c>
    </row>
    <row r="681">
      <c r="A681" t="inlineStr">
        <is>
          <t>EMD-10590</t>
        </is>
      </c>
      <c r="B681" t="inlineStr">
        <is>
          <t>non-amyloid</t>
        </is>
      </c>
      <c r="C681" t="n">
        <v>3.1</v>
      </c>
      <c r="D681" t="n">
        <v>28.3417</v>
      </c>
      <c r="E681" t="n">
        <v>-166.498</v>
      </c>
      <c r="F681" t="inlineStr">
        <is>
          <t>C1</t>
        </is>
      </c>
      <c r="G681" t="inlineStr">
        <is>
          <t>28.31809057</t>
        </is>
      </c>
      <c r="H681" t="n">
        <v>-168.4030924</v>
      </c>
      <c r="I681" t="inlineStr">
        <is>
          <t>C1</t>
        </is>
      </c>
      <c r="J681" t="n">
        <v>0.87802706</v>
      </c>
      <c r="K681" t="inlineStr"/>
      <c r="L681" t="n">
        <v>0.458644039</v>
      </c>
      <c r="M681" t="n">
        <v>0.9553688420000001</v>
      </c>
      <c r="N681" t="inlineStr">
        <is>
          <t>Yes</t>
        </is>
      </c>
      <c r="O681" t="inlineStr">
        <is>
          <t>improve</t>
        </is>
      </c>
      <c r="P681" t="inlineStr">
        <is>
          <t>adjusted decimals</t>
        </is>
      </c>
      <c r="Q681" t="inlineStr"/>
      <c r="R681" t="inlineStr"/>
      <c r="S681">
        <f>HYPERLINK("https://helical-indexing-hi3d.streamlit.app/?emd_id=emd-10590&amp;rise=28.31809057&amp;twist=-168.4030924&amp;csym=1&amp;rise2=28.3417&amp;twist2=-166.498&amp;csym2=1", "Link")</f>
        <v/>
      </c>
    </row>
    <row r="682">
      <c r="A682" t="inlineStr">
        <is>
          <t>EMD-27065</t>
        </is>
      </c>
      <c r="B682" t="inlineStr">
        <is>
          <t>non-amyloid</t>
        </is>
      </c>
      <c r="C682" t="n">
        <v>3.1</v>
      </c>
      <c r="D682" t="n">
        <v>5.485</v>
      </c>
      <c r="E682" t="n">
        <v>107.938</v>
      </c>
      <c r="F682" t="inlineStr">
        <is>
          <t>C1</t>
        </is>
      </c>
      <c r="G682" t="inlineStr">
        <is>
          <t>5.485</t>
        </is>
      </c>
      <c r="H682" t="n">
        <v>107.938</v>
      </c>
      <c r="I682" t="inlineStr">
        <is>
          <t>C1</t>
        </is>
      </c>
      <c r="J682" t="n">
        <v>0</v>
      </c>
      <c r="K682" t="inlineStr"/>
      <c r="L682" t="n">
        <v>0.967525246</v>
      </c>
      <c r="M682" t="n">
        <v>0.967525246</v>
      </c>
      <c r="N682" t="inlineStr">
        <is>
          <t>Yes</t>
        </is>
      </c>
      <c r="O682" t="inlineStr">
        <is>
          <t>equal</t>
        </is>
      </c>
      <c r="P682" t="inlineStr">
        <is>
          <t>deposited</t>
        </is>
      </c>
      <c r="Q682" t="inlineStr"/>
      <c r="R682" t="inlineStr"/>
      <c r="S682">
        <f>HYPERLINK("https://helical-indexing-hi3d.streamlit.app/?emd_id=emd-27065&amp;rise=5.485&amp;twist=107.938&amp;csym=1&amp;rise2=5.485&amp;twist2=107.938&amp;csym2=1", "Link")</f>
        <v/>
      </c>
    </row>
    <row r="683">
      <c r="A683" t="inlineStr">
        <is>
          <t>EMD-13511</t>
        </is>
      </c>
      <c r="B683" t="inlineStr">
        <is>
          <t>non-amyloid</t>
        </is>
      </c>
      <c r="C683" t="n">
        <v>3.1</v>
      </c>
      <c r="D683" t="inlineStr"/>
      <c r="E683" t="inlineStr"/>
      <c r="F683" t="inlineStr"/>
      <c r="G683" t="inlineStr"/>
      <c r="H683" t="inlineStr"/>
      <c r="I683" t="inlineStr">
        <is>
          <t>Cnan</t>
        </is>
      </c>
      <c r="J683" t="inlineStr"/>
      <c r="K683" t="inlineStr">
        <is>
          <t> </t>
        </is>
      </c>
      <c r="L683" t="inlineStr"/>
      <c r="M683" t="inlineStr"/>
      <c r="N683" t="inlineStr">
        <is>
          <t>No</t>
        </is>
      </c>
      <c r="O683" t="inlineStr"/>
      <c r="P683" t="inlineStr">
        <is>
          <t>single unit</t>
        </is>
      </c>
      <c r="Q683" t="inlineStr"/>
      <c r="R683" t="inlineStr"/>
      <c r="S683" t="inlineStr"/>
    </row>
    <row r="684">
      <c r="A684" t="inlineStr">
        <is>
          <t>EMD-21949</t>
        </is>
      </c>
      <c r="B684" t="inlineStr">
        <is>
          <t>microtubule</t>
        </is>
      </c>
      <c r="C684" t="n">
        <v>3.1</v>
      </c>
      <c r="D684" t="n">
        <v>5.5</v>
      </c>
      <c r="E684" t="n">
        <v>168.09</v>
      </c>
      <c r="F684" t="inlineStr">
        <is>
          <t>C1</t>
        </is>
      </c>
      <c r="G684" t="inlineStr"/>
      <c r="H684" t="inlineStr"/>
      <c r="I684" t="inlineStr">
        <is>
          <t>C1</t>
        </is>
      </c>
      <c r="J684" t="inlineStr"/>
      <c r="K684" t="inlineStr"/>
      <c r="L684" t="n">
        <v>0.23524</v>
      </c>
      <c r="M684" t="n">
        <v>0.634448737</v>
      </c>
      <c r="N684" t="inlineStr">
        <is>
          <t>Excluded</t>
        </is>
      </c>
      <c r="O684" t="inlineStr">
        <is>
          <t>improve</t>
        </is>
      </c>
      <c r="P684" t="inlineStr">
        <is>
          <t>partial map</t>
        </is>
      </c>
      <c r="Q684" t="inlineStr"/>
      <c r="R684" t="inlineStr"/>
      <c r="S684">
        <f>HYPERLINK("https://helical-indexing-hi3d.streamlit.app/?emd_id=emd-21949&amp;rise=nan&amp;twist=nan&amp;csym=1&amp;rise2=5.5&amp;twist2=168.09&amp;csym2=1", "Link")</f>
        <v/>
      </c>
    </row>
    <row r="685">
      <c r="A685" t="inlineStr">
        <is>
          <t>EMD-13521</t>
        </is>
      </c>
      <c r="B685" t="inlineStr">
        <is>
          <t>non-amyloid</t>
        </is>
      </c>
      <c r="C685" t="n">
        <v>3.1</v>
      </c>
      <c r="D685" t="inlineStr"/>
      <c r="E685" t="inlineStr"/>
      <c r="F685" t="inlineStr"/>
      <c r="G685" t="inlineStr"/>
      <c r="H685" t="inlineStr"/>
      <c r="I685" t="inlineStr">
        <is>
          <t>Cnan</t>
        </is>
      </c>
      <c r="J685" t="inlineStr"/>
      <c r="K685" t="inlineStr">
        <is>
          <t> </t>
        </is>
      </c>
      <c r="L685" t="inlineStr"/>
      <c r="M685" t="inlineStr"/>
      <c r="N685" t="inlineStr">
        <is>
          <t>No</t>
        </is>
      </c>
      <c r="O685" t="inlineStr"/>
      <c r="P685" t="inlineStr">
        <is>
          <t>single unit</t>
        </is>
      </c>
      <c r="Q685" t="inlineStr">
        <is>
          <t>check</t>
        </is>
      </c>
      <c r="R685" t="inlineStr"/>
      <c r="S685" t="inlineStr"/>
    </row>
    <row r="686">
      <c r="A686" t="inlineStr">
        <is>
          <t>EMD-34372</t>
        </is>
      </c>
      <c r="B686" t="inlineStr">
        <is>
          <t>non-amyloid</t>
        </is>
      </c>
      <c r="C686" t="n">
        <v>3.14</v>
      </c>
      <c r="D686" t="n">
        <v>19.6</v>
      </c>
      <c r="E686" t="n">
        <v>48.68</v>
      </c>
      <c r="F686" t="inlineStr">
        <is>
          <t>C1</t>
        </is>
      </c>
      <c r="G686" t="inlineStr"/>
      <c r="H686" t="inlineStr"/>
      <c r="I686" t="inlineStr">
        <is>
          <t>Cnan</t>
        </is>
      </c>
      <c r="J686" t="inlineStr"/>
      <c r="K686" t="inlineStr"/>
      <c r="L686" t="n">
        <v>0.569653739</v>
      </c>
      <c r="M686" t="n">
        <v>0.576931227</v>
      </c>
      <c r="N686" t="inlineStr">
        <is>
          <t>Excluded</t>
        </is>
      </c>
      <c r="O686" t="inlineStr">
        <is>
          <t>improve</t>
        </is>
      </c>
      <c r="P686" t="inlineStr">
        <is>
          <t>focus reconstruction</t>
        </is>
      </c>
      <c r="Q686" t="inlineStr"/>
      <c r="R686" t="inlineStr"/>
      <c r="S686">
        <f>HYPERLINK("https://helical-indexing-hi3d.streamlit.app/?emd_id=emd-34372&amp;rise=nan&amp;twist=nan&amp;csym=nan&amp;rise2=19.6&amp;twist2=48.68&amp;csym2=1", "Link")</f>
        <v/>
      </c>
    </row>
    <row r="687">
      <c r="A687" t="inlineStr">
        <is>
          <t>EMD-16437</t>
        </is>
      </c>
      <c r="B687" t="inlineStr">
        <is>
          <t>non-amyloid</t>
        </is>
      </c>
      <c r="C687" t="n">
        <v>3.15</v>
      </c>
      <c r="D687" t="n">
        <v>16.7</v>
      </c>
      <c r="E687" t="n">
        <v>-77</v>
      </c>
      <c r="F687" t="inlineStr">
        <is>
          <t>C2</t>
        </is>
      </c>
      <c r="G687" t="inlineStr">
        <is>
          <t>16.39117167</t>
        </is>
      </c>
      <c r="H687" t="n">
        <v>-76.98053362</v>
      </c>
      <c r="I687" t="inlineStr">
        <is>
          <t>C2</t>
        </is>
      </c>
      <c r="J687" t="n">
        <v>0.3089857676859265</v>
      </c>
      <c r="K687" t="inlineStr"/>
      <c r="L687" t="n">
        <v>0.49924</v>
      </c>
      <c r="M687" t="n">
        <v>0.8837557539999999</v>
      </c>
      <c r="N687" t="inlineStr">
        <is>
          <t>Yes</t>
        </is>
      </c>
      <c r="O687" t="inlineStr">
        <is>
          <t>improve</t>
        </is>
      </c>
      <c r="P687" t="inlineStr">
        <is>
          <t>adjusted decimals</t>
        </is>
      </c>
      <c r="Q687" t="inlineStr"/>
      <c r="R687" t="inlineStr"/>
      <c r="S687">
        <f>HYPERLINK("https://helical-indexing-hi3d.streamlit.app/?emd_id=emd-16437&amp;rise=16.39117167&amp;twist=-76.98053362&amp;csym=2&amp;rise2=16.7&amp;twist2=-77.0&amp;csym2=2", "Link")</f>
        <v/>
      </c>
    </row>
    <row r="688">
      <c r="A688" t="inlineStr">
        <is>
          <t>EMD-40216</t>
        </is>
      </c>
      <c r="B688" t="inlineStr">
        <is>
          <t>non-amyloid</t>
        </is>
      </c>
      <c r="C688" t="n">
        <v>3.15</v>
      </c>
      <c r="D688" t="n">
        <v>12.933</v>
      </c>
      <c r="E688" t="n">
        <v>37.439</v>
      </c>
      <c r="F688" t="inlineStr">
        <is>
          <t>C1</t>
        </is>
      </c>
      <c r="G688" t="inlineStr"/>
      <c r="H688" t="inlineStr"/>
      <c r="I688" t="inlineStr">
        <is>
          <t>Cnan</t>
        </is>
      </c>
      <c r="J688" t="inlineStr"/>
      <c r="K688" t="inlineStr"/>
      <c r="L688" t="n">
        <v>0.6292299180000001</v>
      </c>
      <c r="M688" t="n">
        <v>0.660820433</v>
      </c>
      <c r="N688" t="inlineStr">
        <is>
          <t>Excluded</t>
        </is>
      </c>
      <c r="O688" t="inlineStr">
        <is>
          <t>improve</t>
        </is>
      </c>
      <c r="P688" t="inlineStr">
        <is>
          <t>partial map</t>
        </is>
      </c>
      <c r="Q688" t="inlineStr"/>
      <c r="R688" t="inlineStr"/>
      <c r="S688">
        <f>HYPERLINK("https://helical-indexing-hi3d.streamlit.app/?emd_id=emd-40216&amp;rise=nan&amp;twist=nan&amp;csym=nan&amp;rise2=12.933&amp;twist2=37.439&amp;csym2=1", "Link")</f>
        <v/>
      </c>
    </row>
    <row r="689">
      <c r="A689" t="inlineStr">
        <is>
          <t>EMD-17069</t>
        </is>
      </c>
      <c r="B689" t="inlineStr">
        <is>
          <t>non-amyloid</t>
        </is>
      </c>
      <c r="C689" t="n">
        <v>3.15</v>
      </c>
      <c r="D689" t="n">
        <v>5.358</v>
      </c>
      <c r="E689" t="n">
        <v>-48</v>
      </c>
      <c r="F689" t="inlineStr">
        <is>
          <t>C1</t>
        </is>
      </c>
      <c r="G689" t="inlineStr">
        <is>
          <t>5.356888074</t>
        </is>
      </c>
      <c r="H689" t="n">
        <v>-48.00012384</v>
      </c>
      <c r="I689" t="inlineStr">
        <is>
          <t>C1</t>
        </is>
      </c>
      <c r="J689" t="n">
        <v>0.001112754</v>
      </c>
      <c r="K689" t="inlineStr"/>
      <c r="L689" t="n">
        <v>0.96246</v>
      </c>
      <c r="M689" t="n">
        <v>0.962560121</v>
      </c>
      <c r="N689" t="inlineStr">
        <is>
          <t>Yes</t>
        </is>
      </c>
      <c r="O689" t="inlineStr">
        <is>
          <t>improve</t>
        </is>
      </c>
      <c r="P689" t="inlineStr">
        <is>
          <t>adjusted decimals</t>
        </is>
      </c>
      <c r="Q689" t="inlineStr"/>
      <c r="R689" t="inlineStr"/>
      <c r="S689">
        <f>HYPERLINK("https://helical-indexing-hi3d.streamlit.app/?emd_id=emd-17069&amp;rise=5.356888074&amp;twist=-48.00012384&amp;csym=1&amp;rise2=5.358&amp;twist2=-48.0&amp;csym2=1", "Link")</f>
        <v/>
      </c>
    </row>
    <row r="690">
      <c r="A690" t="inlineStr">
        <is>
          <t>EMD-17075</t>
        </is>
      </c>
      <c r="B690" t="inlineStr">
        <is>
          <t>non-amyloid</t>
        </is>
      </c>
      <c r="C690" t="n">
        <v>3.17</v>
      </c>
      <c r="D690" t="n">
        <v>4.086</v>
      </c>
      <c r="E690" t="n">
        <v>-41.008</v>
      </c>
      <c r="F690" t="inlineStr">
        <is>
          <t>C1</t>
        </is>
      </c>
      <c r="G690" t="inlineStr">
        <is>
          <t>4.086</t>
        </is>
      </c>
      <c r="H690" t="n">
        <v>-41.008</v>
      </c>
      <c r="I690" t="inlineStr">
        <is>
          <t>C1</t>
        </is>
      </c>
      <c r="J690" t="n">
        <v>0</v>
      </c>
      <c r="K690" t="inlineStr"/>
      <c r="L690" t="n">
        <v>0.97148</v>
      </c>
      <c r="M690" t="n">
        <v>0.97148</v>
      </c>
      <c r="N690" t="inlineStr">
        <is>
          <t>Yes</t>
        </is>
      </c>
      <c r="O690" t="inlineStr">
        <is>
          <t>equal</t>
        </is>
      </c>
      <c r="P690" t="inlineStr">
        <is>
          <t>deposited</t>
        </is>
      </c>
      <c r="Q690" t="inlineStr"/>
      <c r="R690" t="inlineStr"/>
      <c r="S690">
        <f>HYPERLINK("https://helical-indexing-hi3d.streamlit.app/?emd_id=emd-17075&amp;rise=4.086&amp;twist=-41.008&amp;csym=1&amp;rise2=4.086&amp;twist2=-41.008&amp;csym2=1", "Link")</f>
        <v/>
      </c>
    </row>
    <row r="691">
      <c r="A691" t="inlineStr">
        <is>
          <t>EMD-8902</t>
        </is>
      </c>
      <c r="B691" t="inlineStr">
        <is>
          <t>non-amyloid</t>
        </is>
      </c>
      <c r="C691" t="n">
        <v>3.17</v>
      </c>
      <c r="D691" t="n">
        <v>5</v>
      </c>
      <c r="E691" t="n">
        <v>-100.58</v>
      </c>
      <c r="F691" t="inlineStr">
        <is>
          <t>C1</t>
        </is>
      </c>
      <c r="G691" t="inlineStr">
        <is>
          <t>5</t>
        </is>
      </c>
      <c r="H691" t="n">
        <v>-100.58</v>
      </c>
      <c r="I691" t="inlineStr">
        <is>
          <t>C1</t>
        </is>
      </c>
      <c r="J691" t="n">
        <v>0</v>
      </c>
      <c r="K691" t="inlineStr"/>
      <c r="L691" t="n">
        <v>0.80716</v>
      </c>
      <c r="M691" t="n">
        <v>0.80716</v>
      </c>
      <c r="N691" t="inlineStr">
        <is>
          <t>Yes</t>
        </is>
      </c>
      <c r="O691" t="inlineStr">
        <is>
          <t>equal</t>
        </is>
      </c>
      <c r="P691" t="inlineStr">
        <is>
          <t>deposited</t>
        </is>
      </c>
      <c r="Q691" t="inlineStr"/>
      <c r="R691" t="inlineStr"/>
      <c r="S691">
        <f>HYPERLINK("https://helical-indexing-hi3d.streamlit.app/?emd_id=emd-8902&amp;rise=5&amp;twist=-100.58&amp;csym=1&amp;rise2=5.0&amp;twist2=-100.58&amp;csym2=1", "Link")</f>
        <v/>
      </c>
    </row>
    <row r="692">
      <c r="A692" t="inlineStr">
        <is>
          <t>EMD-17066</t>
        </is>
      </c>
      <c r="B692" t="inlineStr">
        <is>
          <t>non-amyloid</t>
        </is>
      </c>
      <c r="C692" t="n">
        <v>3.18</v>
      </c>
      <c r="D692" t="n">
        <v>40.025</v>
      </c>
      <c r="E692" t="n">
        <v>8.44</v>
      </c>
      <c r="F692" t="inlineStr">
        <is>
          <t>C1</t>
        </is>
      </c>
      <c r="G692" t="inlineStr">
        <is>
          <t>40.025</t>
        </is>
      </c>
      <c r="H692" t="n">
        <v>8.44</v>
      </c>
      <c r="I692" t="inlineStr">
        <is>
          <t>C1</t>
        </is>
      </c>
      <c r="J692" t="n">
        <v>0</v>
      </c>
      <c r="K692" t="inlineStr"/>
      <c r="L692" t="n">
        <v>0.87921</v>
      </c>
      <c r="M692" t="n">
        <v>0.87921</v>
      </c>
      <c r="N692" t="inlineStr">
        <is>
          <t>Yes</t>
        </is>
      </c>
      <c r="O692" t="inlineStr">
        <is>
          <t>equal</t>
        </is>
      </c>
      <c r="P692" t="inlineStr">
        <is>
          <t>deposited</t>
        </is>
      </c>
      <c r="Q692" t="inlineStr"/>
      <c r="R692" t="inlineStr"/>
      <c r="S692">
        <f>HYPERLINK("https://helical-indexing-hi3d.streamlit.app/?emd_id=emd-17066&amp;rise=40.025&amp;twist=8.44&amp;csym=1&amp;rise2=40.025&amp;twist2=8.44&amp;csym2=1", "Link")</f>
        <v/>
      </c>
    </row>
    <row r="693">
      <c r="A693" t="inlineStr">
        <is>
          <t>EMD-22638</t>
        </is>
      </c>
      <c r="B693" t="inlineStr">
        <is>
          <t>non-amyloid</t>
        </is>
      </c>
      <c r="C693" t="n">
        <v>3.2</v>
      </c>
      <c r="D693" t="n">
        <v>27.385195</v>
      </c>
      <c r="E693" t="n">
        <v>-166.57869</v>
      </c>
      <c r="F693" t="inlineStr">
        <is>
          <t>C1</t>
        </is>
      </c>
      <c r="G693" t="inlineStr">
        <is>
          <t>27.35643808</t>
        </is>
      </c>
      <c r="H693" t="n">
        <v>-166.5556456</v>
      </c>
      <c r="I693" t="inlineStr">
        <is>
          <t>C1</t>
        </is>
      </c>
      <c r="J693" t="n">
        <v>0.0295108797066794</v>
      </c>
      <c r="K693" t="inlineStr"/>
      <c r="L693" t="n">
        <v>0.9137</v>
      </c>
      <c r="M693" t="n">
        <v>0.914343899</v>
      </c>
      <c r="N693" t="inlineStr">
        <is>
          <t>Yes</t>
        </is>
      </c>
      <c r="O693" t="inlineStr">
        <is>
          <t>improve</t>
        </is>
      </c>
      <c r="P693" t="inlineStr">
        <is>
          <t>adjusted decimals</t>
        </is>
      </c>
      <c r="Q693" t="inlineStr"/>
      <c r="R693" t="inlineStr"/>
      <c r="S693">
        <f>HYPERLINK("https://helical-indexing-hi3d.streamlit.app/?emd_id=emd-22638&amp;rise=27.35643808&amp;twist=-166.5556456&amp;csym=1&amp;rise2=27.385195&amp;twist2=-166.57869&amp;csym2=1", "Link")</f>
        <v/>
      </c>
    </row>
    <row r="694">
      <c r="A694" t="inlineStr">
        <is>
          <t>EMD-30366</t>
        </is>
      </c>
      <c r="B694" t="inlineStr">
        <is>
          <t>non-amyloid</t>
        </is>
      </c>
      <c r="C694" t="n">
        <v>3.2</v>
      </c>
      <c r="D694" t="n">
        <v>16</v>
      </c>
      <c r="E694" t="n">
        <v>55.93</v>
      </c>
      <c r="F694" t="inlineStr">
        <is>
          <t>C1</t>
        </is>
      </c>
      <c r="G694" t="inlineStr"/>
      <c r="H694" t="inlineStr"/>
      <c r="I694" t="inlineStr">
        <is>
          <t>Cnan</t>
        </is>
      </c>
      <c r="J694" t="inlineStr"/>
      <c r="K694" t="inlineStr"/>
      <c r="L694" t="n">
        <v>0.492859952</v>
      </c>
      <c r="M694" t="n">
        <v>0.492941652</v>
      </c>
      <c r="N694" t="inlineStr">
        <is>
          <t>Excluded</t>
        </is>
      </c>
      <c r="O694" t="inlineStr">
        <is>
          <t>improve</t>
        </is>
      </c>
      <c r="P694" t="inlineStr">
        <is>
          <t>focus reconstruction</t>
        </is>
      </c>
      <c r="Q694" t="inlineStr"/>
      <c r="R694" t="inlineStr"/>
      <c r="S694">
        <f>HYPERLINK("https://helical-indexing-hi3d.streamlit.app/?emd_id=emd-30366&amp;rise=nan&amp;twist=nan&amp;csym=nan&amp;rise2=16.0&amp;twist2=55.93&amp;csym2=1", "Link")</f>
        <v/>
      </c>
    </row>
    <row r="695">
      <c r="A695" t="inlineStr">
        <is>
          <t>EMD-14238</t>
        </is>
      </c>
      <c r="B695" t="inlineStr">
        <is>
          <t>non-amyloid</t>
        </is>
      </c>
      <c r="C695" t="n">
        <v>3.2</v>
      </c>
      <c r="D695" t="n">
        <v>0.525</v>
      </c>
      <c r="E695" t="n">
        <v>-3.874</v>
      </c>
      <c r="F695" t="inlineStr">
        <is>
          <t>C1</t>
        </is>
      </c>
      <c r="G695" t="inlineStr"/>
      <c r="H695" t="inlineStr"/>
      <c r="I695" t="inlineStr">
        <is>
          <t>Cnan</t>
        </is>
      </c>
      <c r="J695" t="inlineStr"/>
      <c r="K695" t="inlineStr"/>
      <c r="L695" t="inlineStr"/>
      <c r="M695" t="n">
        <v>0.243816023</v>
      </c>
      <c r="N695" t="inlineStr">
        <is>
          <t>Excluded</t>
        </is>
      </c>
      <c r="O695" t="inlineStr">
        <is>
          <t>improve</t>
        </is>
      </c>
      <c r="P695" t="inlineStr">
        <is>
          <t>partial map</t>
        </is>
      </c>
      <c r="Q695" t="inlineStr"/>
      <c r="R695" t="inlineStr"/>
      <c r="S695">
        <f>HYPERLINK("https://helical-indexing-hi3d.streamlit.app/?emd_id=emd-14238&amp;rise=nan&amp;twist=nan&amp;csym=nan&amp;rise2=0.525&amp;twist2=-3.874&amp;csym2=1", "Link")</f>
        <v/>
      </c>
    </row>
    <row r="696">
      <c r="A696" t="inlineStr">
        <is>
          <t>EMD-27157</t>
        </is>
      </c>
      <c r="B696" t="inlineStr">
        <is>
          <t>non-amyloid</t>
        </is>
      </c>
      <c r="C696" t="n">
        <v>3.2</v>
      </c>
      <c r="D696" t="n">
        <v>26.8</v>
      </c>
      <c r="E696" t="n">
        <v>83.3</v>
      </c>
      <c r="F696" t="inlineStr">
        <is>
          <t>C1</t>
        </is>
      </c>
      <c r="G696" t="inlineStr">
        <is>
          <t>27.42385055</t>
        </is>
      </c>
      <c r="H696" t="n">
        <v>82.6425866</v>
      </c>
      <c r="I696" t="inlineStr">
        <is>
          <t>C1</t>
        </is>
      </c>
      <c r="J696" t="n">
        <v>0.7053944916458963</v>
      </c>
      <c r="K696" t="inlineStr"/>
      <c r="L696" t="n">
        <v>0.550319123</v>
      </c>
      <c r="M696" t="n">
        <v>0.962706998</v>
      </c>
      <c r="N696" t="inlineStr">
        <is>
          <t>Yes</t>
        </is>
      </c>
      <c r="O696" t="inlineStr">
        <is>
          <t>improve</t>
        </is>
      </c>
      <c r="P696" t="inlineStr">
        <is>
          <t>adjusted decimals</t>
        </is>
      </c>
      <c r="Q696" t="inlineStr"/>
      <c r="R696" t="inlineStr"/>
      <c r="S696">
        <f>HYPERLINK("https://helical-indexing-hi3d.streamlit.app/?emd_id=emd-27157&amp;rise=27.42385055&amp;twist=82.6425866&amp;csym=1&amp;rise2=26.8&amp;twist2=83.3&amp;csym2=1", "Link")</f>
        <v/>
      </c>
    </row>
    <row r="697">
      <c r="A697" t="inlineStr">
        <is>
          <t>EMD-14998</t>
        </is>
      </c>
      <c r="B697" t="inlineStr">
        <is>
          <t>non-amyloid</t>
        </is>
      </c>
      <c r="C697" t="n">
        <v>3.2</v>
      </c>
      <c r="D697" t="n">
        <v>27.6</v>
      </c>
      <c r="E697" t="n">
        <v>83.09999999999999</v>
      </c>
      <c r="F697" t="inlineStr">
        <is>
          <t>D1</t>
        </is>
      </c>
      <c r="G697" t="inlineStr">
        <is>
          <t>27.16460431</t>
        </is>
      </c>
      <c r="H697" t="n">
        <v>82.62077931</v>
      </c>
      <c r="I697" t="inlineStr">
        <is>
          <t>C1</t>
        </is>
      </c>
      <c r="J697" t="n">
        <v>0.4738291755653876</v>
      </c>
      <c r="K697" t="inlineStr"/>
      <c r="L697" t="n">
        <v>0.836590861</v>
      </c>
      <c r="M697" t="n">
        <v>0.889504527</v>
      </c>
      <c r="N697" t="inlineStr">
        <is>
          <t>Yes</t>
        </is>
      </c>
      <c r="O697" t="inlineStr">
        <is>
          <t>improve</t>
        </is>
      </c>
      <c r="P697" t="inlineStr">
        <is>
          <t>adjusted decimals</t>
        </is>
      </c>
      <c r="Q697" t="inlineStr"/>
      <c r="R697" t="inlineStr"/>
      <c r="S697">
        <f>HYPERLINK("https://helical-indexing-hi3d.streamlit.app/?emd_id=emd-14998&amp;rise=27.16460431&amp;twist=82.62077931&amp;csym=1&amp;rise2=27.6&amp;twist2=83.1&amp;csym2=1", "Link")</f>
        <v/>
      </c>
    </row>
    <row r="698">
      <c r="A698" t="inlineStr">
        <is>
          <t>EMD-13502</t>
        </is>
      </c>
      <c r="B698" t="inlineStr">
        <is>
          <t>non-amyloid</t>
        </is>
      </c>
      <c r="C698" t="n">
        <v>3.2</v>
      </c>
      <c r="D698" t="inlineStr"/>
      <c r="E698" t="inlineStr"/>
      <c r="F698" t="inlineStr"/>
      <c r="G698" t="inlineStr"/>
      <c r="H698" t="inlineStr"/>
      <c r="I698" t="inlineStr">
        <is>
          <t>Cnan</t>
        </is>
      </c>
      <c r="J698" t="inlineStr"/>
      <c r="K698" t="inlineStr"/>
      <c r="L698" t="inlineStr"/>
      <c r="M698" t="inlineStr"/>
      <c r="N698" t="inlineStr">
        <is>
          <t>No</t>
        </is>
      </c>
      <c r="O698" t="inlineStr"/>
      <c r="P698" t="inlineStr">
        <is>
          <t>single unit</t>
        </is>
      </c>
      <c r="Q698" t="inlineStr"/>
      <c r="R698" t="inlineStr"/>
      <c r="S698" t="inlineStr"/>
    </row>
    <row r="699">
      <c r="A699" t="inlineStr">
        <is>
          <t>EMD-41133</t>
        </is>
      </c>
      <c r="B699" t="inlineStr">
        <is>
          <t>non-amyloid</t>
        </is>
      </c>
      <c r="C699" t="n">
        <v>3.2</v>
      </c>
      <c r="D699" t="n">
        <v>43.86</v>
      </c>
      <c r="E699" t="n">
        <v>-7.16</v>
      </c>
      <c r="F699" t="inlineStr">
        <is>
          <t>D14</t>
        </is>
      </c>
      <c r="G699" t="inlineStr"/>
      <c r="H699" t="inlineStr"/>
      <c r="I699" t="inlineStr">
        <is>
          <t>Cnan</t>
        </is>
      </c>
      <c r="J699" t="inlineStr"/>
      <c r="K699" t="inlineStr"/>
      <c r="L699" t="inlineStr"/>
      <c r="M699" t="inlineStr"/>
      <c r="N699" t="inlineStr">
        <is>
          <t>No</t>
        </is>
      </c>
      <c r="O699" t="inlineStr"/>
      <c r="P699" t="inlineStr">
        <is>
          <t>single unit</t>
        </is>
      </c>
      <c r="Q699" t="inlineStr"/>
      <c r="R699" t="inlineStr"/>
      <c r="S699">
        <f>HYPERLINK("https://helical-indexing-hi3d.streamlit.app/?emd_id=emd-41133&amp;rise=nan&amp;twist=nan&amp;csym=nan&amp;rise2=43.86&amp;twist2=-7.16&amp;csym2=14", "Link")</f>
        <v/>
      </c>
    </row>
    <row r="700">
      <c r="A700" t="inlineStr">
        <is>
          <t>EMD-42161</t>
        </is>
      </c>
      <c r="B700" t="inlineStr">
        <is>
          <t>non-amyloid</t>
        </is>
      </c>
      <c r="C700" t="n">
        <v>3.2</v>
      </c>
      <c r="D700" t="n">
        <v>112.075</v>
      </c>
      <c r="E700" t="n">
        <v>53.656</v>
      </c>
      <c r="F700" t="inlineStr">
        <is>
          <t>C1</t>
        </is>
      </c>
      <c r="G700" t="inlineStr">
        <is>
          <t>112.075</t>
        </is>
      </c>
      <c r="H700" t="n">
        <v>53.656</v>
      </c>
      <c r="I700" t="inlineStr">
        <is>
          <t>C1</t>
        </is>
      </c>
      <c r="J700" t="n">
        <v>0</v>
      </c>
      <c r="K700" t="inlineStr"/>
      <c r="L700" t="n">
        <v>0.8099502240000001</v>
      </c>
      <c r="M700" t="n">
        <v>0.8099502240000001</v>
      </c>
      <c r="N700" t="inlineStr">
        <is>
          <t>Yes</t>
        </is>
      </c>
      <c r="O700" t="inlineStr">
        <is>
          <t>equal</t>
        </is>
      </c>
      <c r="P700" t="inlineStr">
        <is>
          <t>deposited</t>
        </is>
      </c>
      <c r="Q700" t="inlineStr"/>
      <c r="R700" t="inlineStr"/>
      <c r="S700">
        <f>HYPERLINK("https://helical-indexing-hi3d.streamlit.app/?emd_id=emd-42161&amp;rise=112.075&amp;twist=53.656&amp;csym=1&amp;rise2=112.075&amp;twist2=53.656&amp;csym2=1", "Link")</f>
        <v/>
      </c>
    </row>
    <row r="701">
      <c r="A701" t="inlineStr">
        <is>
          <t>EMD-16657</t>
        </is>
      </c>
      <c r="B701" t="inlineStr">
        <is>
          <t>non-amyloid</t>
        </is>
      </c>
      <c r="C701" t="n">
        <v>3.2</v>
      </c>
      <c r="D701" t="n">
        <v>16.62</v>
      </c>
      <c r="E701" t="n">
        <v>-35.46</v>
      </c>
      <c r="F701" t="inlineStr">
        <is>
          <t>C5</t>
        </is>
      </c>
      <c r="G701" t="inlineStr">
        <is>
          <t>16.46182728</t>
        </is>
      </c>
      <c r="H701" t="n">
        <v>-35.38084979</v>
      </c>
      <c r="I701" t="inlineStr">
        <is>
          <t>C5</t>
        </is>
      </c>
      <c r="J701" t="n">
        <v>0.1592474828312837</v>
      </c>
      <c r="K701" t="inlineStr"/>
      <c r="L701" t="n">
        <v>0.8122200000000001</v>
      </c>
      <c r="M701" t="n">
        <v>0.8493493640000001</v>
      </c>
      <c r="N701" t="inlineStr">
        <is>
          <t>Yes</t>
        </is>
      </c>
      <c r="O701" t="inlineStr">
        <is>
          <t>improve</t>
        </is>
      </c>
      <c r="P701" t="inlineStr">
        <is>
          <t>adjusted decimals</t>
        </is>
      </c>
      <c r="Q701" t="inlineStr"/>
      <c r="R701" t="inlineStr"/>
      <c r="S701">
        <f>HYPERLINK("https://helical-indexing-hi3d.streamlit.app/?emd_id=emd-16657&amp;rise=16.46182728&amp;twist=-35.38084979&amp;csym=5&amp;rise2=16.62&amp;twist2=-35.46&amp;csym2=5", "Link")</f>
        <v/>
      </c>
    </row>
    <row r="702">
      <c r="A702" t="inlineStr">
        <is>
          <t>EMD-21947</t>
        </is>
      </c>
      <c r="B702" t="inlineStr">
        <is>
          <t>microtubule</t>
        </is>
      </c>
      <c r="C702" t="n">
        <v>3.2</v>
      </c>
      <c r="D702" t="n">
        <v>5.46</v>
      </c>
      <c r="E702" t="n">
        <v>168.09</v>
      </c>
      <c r="F702" t="inlineStr">
        <is>
          <t>C1</t>
        </is>
      </c>
      <c r="G702" t="inlineStr"/>
      <c r="H702" t="inlineStr"/>
      <c r="I702" t="inlineStr">
        <is>
          <t>C1</t>
        </is>
      </c>
      <c r="J702" t="inlineStr"/>
      <c r="K702" t="inlineStr"/>
      <c r="L702" t="n">
        <v>0.21752</v>
      </c>
      <c r="M702" t="n">
        <v>0.599713625</v>
      </c>
      <c r="N702" t="inlineStr">
        <is>
          <t>Excluded</t>
        </is>
      </c>
      <c r="O702" t="inlineStr">
        <is>
          <t>improve</t>
        </is>
      </c>
      <c r="P702" t="inlineStr">
        <is>
          <t>partial map</t>
        </is>
      </c>
      <c r="Q702" t="inlineStr"/>
      <c r="R702" t="inlineStr"/>
      <c r="S702">
        <f>HYPERLINK("https://helical-indexing-hi3d.streamlit.app/?emd_id=emd-21947&amp;rise=nan&amp;twist=nan&amp;csym=1&amp;rise2=5.46&amp;twist2=168.09&amp;csym2=1", "Link")</f>
        <v/>
      </c>
    </row>
    <row r="703">
      <c r="A703" t="inlineStr">
        <is>
          <t>EMD-17052</t>
        </is>
      </c>
      <c r="B703" t="inlineStr">
        <is>
          <t>non-amyloid</t>
        </is>
      </c>
      <c r="C703" t="n">
        <v>3.2</v>
      </c>
      <c r="D703" t="n">
        <v>4.695</v>
      </c>
      <c r="E703" t="n">
        <v>-46.467</v>
      </c>
      <c r="F703" t="inlineStr">
        <is>
          <t>C1</t>
        </is>
      </c>
      <c r="G703" t="inlineStr">
        <is>
          <t>4.695</t>
        </is>
      </c>
      <c r="H703" t="n">
        <v>-46.467</v>
      </c>
      <c r="I703" t="inlineStr">
        <is>
          <t>C1</t>
        </is>
      </c>
      <c r="J703" t="n">
        <v>0</v>
      </c>
      <c r="K703" t="inlineStr"/>
      <c r="L703" t="n">
        <v>0.9641</v>
      </c>
      <c r="M703" t="n">
        <v>0.9641</v>
      </c>
      <c r="N703" t="inlineStr">
        <is>
          <t>Yes</t>
        </is>
      </c>
      <c r="O703" t="inlineStr">
        <is>
          <t>equal</t>
        </is>
      </c>
      <c r="P703" t="inlineStr">
        <is>
          <t>deposited</t>
        </is>
      </c>
      <c r="Q703" t="inlineStr"/>
      <c r="R703" t="inlineStr"/>
      <c r="S703">
        <f>HYPERLINK("https://helical-indexing-hi3d.streamlit.app/?emd_id=emd-17052&amp;rise=4.695&amp;twist=-46.467&amp;csym=1&amp;rise2=4.695&amp;twist2=-46.467&amp;csym2=1", "Link")</f>
        <v/>
      </c>
    </row>
    <row r="704">
      <c r="A704" t="inlineStr">
        <is>
          <t>EMD-22229</t>
        </is>
      </c>
      <c r="B704" t="inlineStr">
        <is>
          <t>non-amyloid</t>
        </is>
      </c>
      <c r="C704" t="n">
        <v>3.2</v>
      </c>
      <c r="D704" t="n">
        <v>4.9</v>
      </c>
      <c r="E704" t="n">
        <v>65.2</v>
      </c>
      <c r="F704" t="inlineStr">
        <is>
          <t>C1</t>
        </is>
      </c>
      <c r="G704" t="inlineStr">
        <is>
          <t>4.904848953</t>
        </is>
      </c>
      <c r="H704" t="n">
        <v>65.16643892</v>
      </c>
      <c r="I704" t="inlineStr">
        <is>
          <t>C1</t>
        </is>
      </c>
      <c r="J704" t="n">
        <v>0.0181024156639867</v>
      </c>
      <c r="K704" t="inlineStr"/>
      <c r="L704" t="n">
        <v>0.84044</v>
      </c>
      <c r="M704" t="n">
        <v>0.861785606</v>
      </c>
      <c r="N704" t="inlineStr">
        <is>
          <t>Yes</t>
        </is>
      </c>
      <c r="O704" t="inlineStr">
        <is>
          <t>improve</t>
        </is>
      </c>
      <c r="P704" t="inlineStr">
        <is>
          <t>adjusted decimals</t>
        </is>
      </c>
      <c r="Q704" t="inlineStr"/>
      <c r="R704" t="inlineStr"/>
      <c r="S704">
        <f>HYPERLINK("https://helical-indexing-hi3d.streamlit.app/?emd_id=emd-22229&amp;rise=4.904848953&amp;twist=65.16643892&amp;csym=1&amp;rise2=4.9&amp;twist2=65.2&amp;csym2=1", "Link")</f>
        <v/>
      </c>
    </row>
    <row r="705">
      <c r="A705" t="inlineStr">
        <is>
          <t>EMD-17067</t>
        </is>
      </c>
      <c r="B705" t="inlineStr">
        <is>
          <t>non-amyloid</t>
        </is>
      </c>
      <c r="C705" t="n">
        <v>3.2</v>
      </c>
      <c r="D705" t="n">
        <v>1</v>
      </c>
      <c r="E705" t="n">
        <v>1</v>
      </c>
      <c r="F705" t="inlineStr">
        <is>
          <t>C1</t>
        </is>
      </c>
      <c r="G705" t="inlineStr">
        <is>
          <t>5.511475151</t>
        </is>
      </c>
      <c r="H705" t="n">
        <v>-48.74947018</v>
      </c>
      <c r="I705" t="inlineStr">
        <is>
          <t>C1</t>
        </is>
      </c>
      <c r="J705" t="n">
        <v>16.52643640887672</v>
      </c>
      <c r="K705" t="inlineStr"/>
      <c r="L705" t="n">
        <v>0.07141</v>
      </c>
      <c r="M705" t="n">
        <v>0.950230966</v>
      </c>
      <c r="N705" t="inlineStr">
        <is>
          <t>Yes</t>
        </is>
      </c>
      <c r="O705" t="inlineStr">
        <is>
          <t>improve</t>
        </is>
      </c>
      <c r="P705" t="inlineStr">
        <is>
          <t>different</t>
        </is>
      </c>
      <c r="Q705" t="inlineStr"/>
      <c r="R705" t="inlineStr"/>
      <c r="S705">
        <f>HYPERLINK("https://helical-indexing-hi3d.streamlit.app/?emd_id=emd-17067&amp;rise=5.511475151&amp;twist=-48.74947018&amp;csym=1&amp;rise2=1.0&amp;twist2=1.0&amp;csym2=1", "Link")</f>
        <v/>
      </c>
    </row>
    <row r="706">
      <c r="A706" t="inlineStr">
        <is>
          <t>EMD-13506</t>
        </is>
      </c>
      <c r="B706" t="inlineStr">
        <is>
          <t>non-amyloid</t>
        </is>
      </c>
      <c r="C706" t="n">
        <v>3.2</v>
      </c>
      <c r="D706" t="inlineStr"/>
      <c r="E706" t="inlineStr"/>
      <c r="F706" t="inlineStr"/>
      <c r="G706" t="inlineStr"/>
      <c r="H706" t="inlineStr"/>
      <c r="I706" t="inlineStr">
        <is>
          <t>Cnan</t>
        </is>
      </c>
      <c r="J706" t="inlineStr"/>
      <c r="K706" t="inlineStr"/>
      <c r="L706" t="inlineStr"/>
      <c r="M706" t="inlineStr"/>
      <c r="N706" t="inlineStr">
        <is>
          <t>No</t>
        </is>
      </c>
      <c r="O706" t="inlineStr"/>
      <c r="P706" t="inlineStr">
        <is>
          <t>single unit</t>
        </is>
      </c>
      <c r="Q706" t="inlineStr"/>
      <c r="R706" t="inlineStr"/>
      <c r="S706" t="inlineStr"/>
    </row>
    <row r="707">
      <c r="A707" t="inlineStr">
        <is>
          <t>EMD-7769</t>
        </is>
      </c>
      <c r="B707" t="inlineStr">
        <is>
          <t>microtubule</t>
        </is>
      </c>
      <c r="C707" t="n">
        <v>3.2</v>
      </c>
      <c r="D707" t="n">
        <v>8.65</v>
      </c>
      <c r="E707" t="n">
        <v>-25.75</v>
      </c>
      <c r="F707" t="inlineStr">
        <is>
          <t>C1</t>
        </is>
      </c>
      <c r="G707" t="inlineStr">
        <is>
          <t>2.87</t>
        </is>
      </c>
      <c r="H707" t="n">
        <v>-128.57</v>
      </c>
      <c r="I707" t="inlineStr">
        <is>
          <t>C1</t>
        </is>
      </c>
      <c r="J707" t="n">
        <v>28.99342480549197</v>
      </c>
      <c r="K707" t="inlineStr"/>
      <c r="L707" t="n">
        <v>0.657484807</v>
      </c>
      <c r="M707" t="n">
        <v>0.78104037</v>
      </c>
      <c r="N707" t="inlineStr">
        <is>
          <t>Yes</t>
        </is>
      </c>
      <c r="O707" t="inlineStr">
        <is>
          <t>improve</t>
        </is>
      </c>
      <c r="P707" t="inlineStr">
        <is>
          <t>different</t>
        </is>
      </c>
      <c r="Q707" t="inlineStr">
        <is>
          <t>partial symmetry</t>
        </is>
      </c>
      <c r="R707" t="inlineStr"/>
      <c r="S707">
        <f>HYPERLINK("https://helical-indexing-hi3d.streamlit.app/?emd_id=emd-7769&amp;rise=2.87&amp;twist=-128.57&amp;csym=1&amp;rise2=8.65&amp;twist2=-25.75&amp;csym2=1", "Link")</f>
        <v/>
      </c>
    </row>
    <row r="708">
      <c r="A708" t="inlineStr">
        <is>
          <t>EMD-28697</t>
        </is>
      </c>
      <c r="B708" t="inlineStr">
        <is>
          <t>non-amyloid</t>
        </is>
      </c>
      <c r="C708" t="n">
        <v>3.2</v>
      </c>
      <c r="D708" t="n">
        <v>3.06</v>
      </c>
      <c r="E708" t="n">
        <v>-20.81</v>
      </c>
      <c r="F708" t="inlineStr">
        <is>
          <t>C1</t>
        </is>
      </c>
      <c r="G708" t="inlineStr">
        <is>
          <t>3.063849307</t>
        </is>
      </c>
      <c r="H708" t="n">
        <v>-20.82913283</v>
      </c>
      <c r="I708" t="inlineStr">
        <is>
          <t>C1</t>
        </is>
      </c>
      <c r="J708" t="n">
        <v>0.0225682990690182</v>
      </c>
      <c r="K708" t="inlineStr"/>
      <c r="L708" t="n">
        <v>0.871696989</v>
      </c>
      <c r="M708" t="n">
        <v>0.90492572</v>
      </c>
      <c r="N708" t="inlineStr">
        <is>
          <t>Yes</t>
        </is>
      </c>
      <c r="O708" t="inlineStr">
        <is>
          <t>improve</t>
        </is>
      </c>
      <c r="P708" t="inlineStr">
        <is>
          <t>adjusted decimals</t>
        </is>
      </c>
      <c r="Q708" t="inlineStr"/>
      <c r="R708" t="inlineStr"/>
      <c r="S708">
        <f>HYPERLINK("https://helical-indexing-hi3d.streamlit.app/?emd_id=emd-28697&amp;rise=3.063849307&amp;twist=-20.82913283&amp;csym=1&amp;rise2=3.06&amp;twist2=-20.81&amp;csym2=1", "Link")</f>
        <v/>
      </c>
    </row>
    <row r="709">
      <c r="A709" t="inlineStr">
        <is>
          <t>EMD-22656</t>
        </is>
      </c>
      <c r="B709" t="inlineStr">
        <is>
          <t>non-amyloid</t>
        </is>
      </c>
      <c r="C709" t="n">
        <v>3.2</v>
      </c>
      <c r="D709" t="n">
        <v>14</v>
      </c>
      <c r="E709" t="n">
        <v>53.3</v>
      </c>
      <c r="F709" t="inlineStr">
        <is>
          <t>C3</t>
        </is>
      </c>
      <c r="G709" t="inlineStr">
        <is>
          <t>13.98883634</t>
        </is>
      </c>
      <c r="H709" t="n">
        <v>53.28236308</v>
      </c>
      <c r="I709" t="inlineStr">
        <is>
          <t>C3</t>
        </is>
      </c>
      <c r="J709" t="n">
        <v>0.0125715320140109</v>
      </c>
      <c r="K709" t="inlineStr"/>
      <c r="L709" t="n">
        <v>0.99791</v>
      </c>
      <c r="M709" t="n">
        <v>0.997986083</v>
      </c>
      <c r="N709" t="inlineStr">
        <is>
          <t>Yes</t>
        </is>
      </c>
      <c r="O709" t="inlineStr">
        <is>
          <t>improve</t>
        </is>
      </c>
      <c r="P709" t="inlineStr">
        <is>
          <t>adjusted decimals</t>
        </is>
      </c>
      <c r="Q709" t="inlineStr"/>
      <c r="R709" t="inlineStr"/>
      <c r="S709">
        <f>HYPERLINK("https://helical-indexing-hi3d.streamlit.app/?emd_id=emd-22656&amp;rise=13.98883634&amp;twist=53.28236308&amp;csym=3&amp;rise2=14.0&amp;twist2=53.3&amp;csym2=3", "Link")</f>
        <v/>
      </c>
    </row>
    <row r="710">
      <c r="A710" t="inlineStr">
        <is>
          <t>EMD-20044</t>
        </is>
      </c>
      <c r="B710" t="inlineStr">
        <is>
          <t>non-amyloid</t>
        </is>
      </c>
      <c r="C710" t="n">
        <v>3.2</v>
      </c>
      <c r="D710" t="n">
        <v>4.25</v>
      </c>
      <c r="E710" t="n">
        <v>63.34</v>
      </c>
      <c r="F710" t="inlineStr">
        <is>
          <t>C1</t>
        </is>
      </c>
      <c r="G710" t="inlineStr">
        <is>
          <t>4.23036685</t>
        </is>
      </c>
      <c r="H710" t="n">
        <v>63.33767741</v>
      </c>
      <c r="I710" t="inlineStr">
        <is>
          <t>C1</t>
        </is>
      </c>
      <c r="J710" t="n">
        <v>0.0196408190357236</v>
      </c>
      <c r="K710" t="inlineStr"/>
      <c r="L710" t="n">
        <v>0.86056</v>
      </c>
      <c r="M710" t="n">
        <v>0.865901363</v>
      </c>
      <c r="N710" t="inlineStr">
        <is>
          <t>Yes</t>
        </is>
      </c>
      <c r="O710" t="inlineStr">
        <is>
          <t>improve</t>
        </is>
      </c>
      <c r="P710" t="inlineStr">
        <is>
          <t>adjusted decimals</t>
        </is>
      </c>
      <c r="Q710" t="inlineStr"/>
      <c r="R710" t="inlineStr"/>
      <c r="S710">
        <f>HYPERLINK("https://helical-indexing-hi3d.streamlit.app/?emd_id=emd-20044&amp;rise=4.23036685&amp;twist=63.33767741&amp;csym=1&amp;rise2=4.25&amp;twist2=63.34&amp;csym2=1", "Link")</f>
        <v/>
      </c>
    </row>
    <row r="711">
      <c r="A711" t="inlineStr">
        <is>
          <t>EMD-11212</t>
        </is>
      </c>
      <c r="B711" t="inlineStr">
        <is>
          <t>non-amyloid</t>
        </is>
      </c>
      <c r="C711" t="n">
        <v>3.2</v>
      </c>
      <c r="D711" t="n">
        <v>25.18</v>
      </c>
      <c r="E711" t="n">
        <v>-32.47</v>
      </c>
      <c r="F711" t="inlineStr">
        <is>
          <t>C1</t>
        </is>
      </c>
      <c r="G711" t="inlineStr">
        <is>
          <t>25.18</t>
        </is>
      </c>
      <c r="H711" t="n">
        <v>-32.47</v>
      </c>
      <c r="I711" t="inlineStr">
        <is>
          <t>C1</t>
        </is>
      </c>
      <c r="J711" t="n">
        <v>0</v>
      </c>
      <c r="K711" t="inlineStr"/>
      <c r="L711" t="n">
        <v>0.94869</v>
      </c>
      <c r="M711" t="n">
        <v>0.94869</v>
      </c>
      <c r="N711" t="inlineStr">
        <is>
          <t>Yes</t>
        </is>
      </c>
      <c r="O711" t="inlineStr">
        <is>
          <t>equal</t>
        </is>
      </c>
      <c r="P711" t="inlineStr">
        <is>
          <t>deposited</t>
        </is>
      </c>
      <c r="Q711" t="inlineStr"/>
      <c r="R711" t="inlineStr"/>
      <c r="S711">
        <f>HYPERLINK("https://helical-indexing-hi3d.streamlit.app/?emd_id=emd-11212&amp;rise=25.18&amp;twist=-32.47&amp;csym=1&amp;rise2=25.18&amp;twist2=-32.47&amp;csym2=1", "Link")</f>
        <v/>
      </c>
    </row>
    <row r="712">
      <c r="A712" t="inlineStr">
        <is>
          <t>EMD-28787</t>
        </is>
      </c>
      <c r="B712" t="inlineStr">
        <is>
          <t>microtubule</t>
        </is>
      </c>
      <c r="C712" t="n">
        <v>3.2</v>
      </c>
      <c r="D712" t="n">
        <v>5.62</v>
      </c>
      <c r="E712" t="n">
        <v>168.09</v>
      </c>
      <c r="F712" t="inlineStr">
        <is>
          <t>C1</t>
        </is>
      </c>
      <c r="G712" t="inlineStr"/>
      <c r="H712" t="inlineStr"/>
      <c r="I712" t="inlineStr">
        <is>
          <t>C1</t>
        </is>
      </c>
      <c r="J712" t="inlineStr"/>
      <c r="K712" t="inlineStr"/>
      <c r="L712" t="n">
        <v>0.192303763</v>
      </c>
      <c r="M712" t="n">
        <v>0.29587182</v>
      </c>
      <c r="N712" t="inlineStr">
        <is>
          <t>Excluded</t>
        </is>
      </c>
      <c r="O712" t="inlineStr">
        <is>
          <t>improve</t>
        </is>
      </c>
      <c r="P712" t="inlineStr">
        <is>
          <t>partial map</t>
        </is>
      </c>
      <c r="Q712" t="inlineStr"/>
      <c r="R712" t="inlineStr"/>
      <c r="S712">
        <f>HYPERLINK("https://helical-indexing-hi3d.streamlit.app/?emd_id=emd-28787&amp;rise=nan&amp;twist=nan&amp;csym=1&amp;rise2=5.62&amp;twist2=168.09&amp;csym2=1", "Link")</f>
        <v/>
      </c>
    </row>
    <row r="713">
      <c r="A713" t="inlineStr">
        <is>
          <t>EMD-7329</t>
        </is>
      </c>
      <c r="B713" t="inlineStr">
        <is>
          <t>non-amyloid</t>
        </is>
      </c>
      <c r="C713" t="n">
        <v>3.2</v>
      </c>
      <c r="D713" t="n">
        <v>27.5</v>
      </c>
      <c r="E713" t="n">
        <v>-167.4</v>
      </c>
      <c r="F713" t="inlineStr">
        <is>
          <t>C1</t>
        </is>
      </c>
      <c r="G713" t="inlineStr">
        <is>
          <t>27.5</t>
        </is>
      </c>
      <c r="H713" t="n">
        <v>-167.4</v>
      </c>
      <c r="I713" t="inlineStr">
        <is>
          <t>C1</t>
        </is>
      </c>
      <c r="J713" t="n">
        <v>0</v>
      </c>
      <c r="K713" t="inlineStr"/>
      <c r="L713" t="n">
        <v>0.858439314</v>
      </c>
      <c r="M713" t="n">
        <v>0.858439314</v>
      </c>
      <c r="N713" t="inlineStr">
        <is>
          <t>Yes</t>
        </is>
      </c>
      <c r="O713" t="inlineStr">
        <is>
          <t>equal</t>
        </is>
      </c>
      <c r="P713" t="inlineStr">
        <is>
          <t>deposited</t>
        </is>
      </c>
      <c r="Q713" t="inlineStr"/>
      <c r="R713" t="inlineStr"/>
      <c r="S713">
        <f>HYPERLINK("https://helical-indexing-hi3d.streamlit.app/?emd_id=emd-7329&amp;rise=27.5&amp;twist=-167.4&amp;csym=1&amp;rise2=27.5&amp;twist2=-167.4&amp;csym2=1", "Link")</f>
        <v/>
      </c>
    </row>
    <row r="714">
      <c r="A714" t="inlineStr">
        <is>
          <t>EMD-28150</t>
        </is>
      </c>
      <c r="B714" t="inlineStr">
        <is>
          <t>non-amyloid</t>
        </is>
      </c>
      <c r="C714" t="n">
        <v>3.2</v>
      </c>
      <c r="D714" t="n">
        <v>8.505000000000001</v>
      </c>
      <c r="E714" t="n">
        <v>113.37</v>
      </c>
      <c r="F714" t="inlineStr">
        <is>
          <t>C1</t>
        </is>
      </c>
      <c r="G714" t="inlineStr">
        <is>
          <t>8.503172489</t>
        </is>
      </c>
      <c r="H714" t="n">
        <v>113.3718473</v>
      </c>
      <c r="I714" t="inlineStr">
        <is>
          <t>C1</t>
        </is>
      </c>
      <c r="J714" t="n">
        <v>0.001942116</v>
      </c>
      <c r="K714" t="inlineStr"/>
      <c r="L714" t="n">
        <v>0.83416</v>
      </c>
      <c r="M714" t="n">
        <v>0.835429733</v>
      </c>
      <c r="N714" t="inlineStr">
        <is>
          <t>Yes</t>
        </is>
      </c>
      <c r="O714" t="inlineStr">
        <is>
          <t>improve</t>
        </is>
      </c>
      <c r="P714" t="inlineStr">
        <is>
          <t>adjusted decimals</t>
        </is>
      </c>
      <c r="Q714" t="inlineStr"/>
      <c r="R714" t="inlineStr"/>
      <c r="S714">
        <f>HYPERLINK("https://helical-indexing-hi3d.streamlit.app/?emd_id=emd-28150&amp;rise=8.503172489&amp;twist=113.3718473&amp;csym=1&amp;rise2=8.505&amp;twist2=113.37&amp;csym2=1", "Link")</f>
        <v/>
      </c>
    </row>
    <row r="715">
      <c r="A715" t="inlineStr">
        <is>
          <t>EMD-28702</t>
        </is>
      </c>
      <c r="B715" t="inlineStr">
        <is>
          <t>non-amyloid</t>
        </is>
      </c>
      <c r="C715" t="n">
        <v>3.2</v>
      </c>
      <c r="D715" t="n">
        <v>3.05</v>
      </c>
      <c r="E715" t="n">
        <v>-20.82</v>
      </c>
      <c r="F715" t="inlineStr">
        <is>
          <t>C1</t>
        </is>
      </c>
      <c r="G715" t="inlineStr">
        <is>
          <t>3.037329564</t>
        </is>
      </c>
      <c r="H715" t="n">
        <v>-20.835652</v>
      </c>
      <c r="I715" t="inlineStr">
        <is>
          <t>C1</t>
        </is>
      </c>
      <c r="J715" t="n">
        <v>0.0228035953430797</v>
      </c>
      <c r="K715" t="inlineStr"/>
      <c r="L715" t="n">
        <v>0.815143583</v>
      </c>
      <c r="M715" t="n">
        <v>0.835092667</v>
      </c>
      <c r="N715" t="inlineStr">
        <is>
          <t>Yes</t>
        </is>
      </c>
      <c r="O715" t="inlineStr">
        <is>
          <t>improve</t>
        </is>
      </c>
      <c r="P715" t="inlineStr">
        <is>
          <t>adjusted decimals</t>
        </is>
      </c>
      <c r="Q715" t="inlineStr"/>
      <c r="R715" t="inlineStr"/>
      <c r="S715">
        <f>HYPERLINK("https://helical-indexing-hi3d.streamlit.app/?emd_id=emd-28702&amp;rise=3.037329564&amp;twist=-20.835652&amp;csym=1&amp;rise2=3.05&amp;twist2=-20.82&amp;csym2=1", "Link")</f>
        <v/>
      </c>
    </row>
    <row r="716">
      <c r="A716" t="inlineStr">
        <is>
          <t>EMD-23720</t>
        </is>
      </c>
      <c r="B716" t="inlineStr">
        <is>
          <t>non-amyloid</t>
        </is>
      </c>
      <c r="C716" t="n">
        <v>3.2</v>
      </c>
      <c r="D716" t="n">
        <v>6.83</v>
      </c>
      <c r="E716" t="n">
        <v>60</v>
      </c>
      <c r="F716" t="inlineStr">
        <is>
          <t>C1</t>
        </is>
      </c>
      <c r="G716" t="inlineStr">
        <is>
          <t>6.797877602</t>
        </is>
      </c>
      <c r="H716" t="n">
        <v>59.43480992</v>
      </c>
      <c r="I716" t="inlineStr">
        <is>
          <t>C1</t>
        </is>
      </c>
      <c r="J716" t="n">
        <v>0.1962186063276316</v>
      </c>
      <c r="K716" t="inlineStr"/>
      <c r="L716" t="n">
        <v>0.56873</v>
      </c>
      <c r="M716" t="n">
        <v>0.793209021</v>
      </c>
      <c r="N716" t="inlineStr">
        <is>
          <t>Yes</t>
        </is>
      </c>
      <c r="O716" t="inlineStr">
        <is>
          <t>improve</t>
        </is>
      </c>
      <c r="P716" t="inlineStr">
        <is>
          <t>adjusted decimals</t>
        </is>
      </c>
      <c r="Q716" t="inlineStr"/>
      <c r="R716" t="inlineStr"/>
      <c r="S716">
        <f>HYPERLINK("https://helical-indexing-hi3d.streamlit.app/?emd_id=emd-23720&amp;rise=6.797877602&amp;twist=59.43480992&amp;csym=1&amp;rise2=6.83&amp;twist2=60.0&amp;csym2=1", "Link")</f>
        <v/>
      </c>
    </row>
    <row r="717">
      <c r="A717" t="inlineStr">
        <is>
          <t>EMD-20588</t>
        </is>
      </c>
      <c r="B717" t="inlineStr">
        <is>
          <t>non-amyloid</t>
        </is>
      </c>
      <c r="C717" t="n">
        <v>3.2</v>
      </c>
      <c r="D717" t="n">
        <v>2.96</v>
      </c>
      <c r="E717" t="n">
        <v>20.02</v>
      </c>
      <c r="F717" t="inlineStr">
        <is>
          <t>C1</t>
        </is>
      </c>
      <c r="G717" t="inlineStr">
        <is>
          <t>2.985167538</t>
        </is>
      </c>
      <c r="H717" t="n">
        <v>20.01971099</v>
      </c>
      <c r="I717" t="inlineStr">
        <is>
          <t>C1</t>
        </is>
      </c>
      <c r="J717" t="n">
        <v>0.025169061</v>
      </c>
      <c r="K717" t="inlineStr"/>
      <c r="L717" t="n">
        <v>0.86582</v>
      </c>
      <c r="M717" t="n">
        <v>0.96891321</v>
      </c>
      <c r="N717" t="inlineStr">
        <is>
          <t>Yes</t>
        </is>
      </c>
      <c r="O717" t="inlineStr">
        <is>
          <t>improve</t>
        </is>
      </c>
      <c r="P717" t="inlineStr">
        <is>
          <t>adjusted decimals</t>
        </is>
      </c>
      <c r="Q717" t="inlineStr"/>
      <c r="R717" t="inlineStr"/>
      <c r="S717">
        <f>HYPERLINK("https://helical-indexing-hi3d.streamlit.app/?emd_id=emd-20588&amp;rise=2.985167538&amp;twist=20.01971099&amp;csym=1&amp;rise2=2.96&amp;twist2=20.02&amp;csym2=1", "Link")</f>
        <v/>
      </c>
    </row>
    <row r="718">
      <c r="A718" t="inlineStr">
        <is>
          <t>EMD-10593</t>
        </is>
      </c>
      <c r="B718" t="inlineStr">
        <is>
          <t>non-amyloid</t>
        </is>
      </c>
      <c r="C718" t="n">
        <v>3.2</v>
      </c>
      <c r="D718" t="n">
        <v>3.14</v>
      </c>
      <c r="E718" t="n">
        <v>65.90000000000001</v>
      </c>
      <c r="F718" t="inlineStr">
        <is>
          <t>C1</t>
        </is>
      </c>
      <c r="G718" t="inlineStr">
        <is>
          <t>3.117256168</t>
        </is>
      </c>
      <c r="H718" t="n">
        <v>65.91299815000001</v>
      </c>
      <c r="I718" t="inlineStr">
        <is>
          <t>C1</t>
        </is>
      </c>
      <c r="J718" t="n">
        <v>0.022878644</v>
      </c>
      <c r="K718" t="inlineStr"/>
      <c r="L718" t="n">
        <v>0.824933141</v>
      </c>
      <c r="M718" t="n">
        <v>0.867435285</v>
      </c>
      <c r="N718" t="inlineStr">
        <is>
          <t>Yes</t>
        </is>
      </c>
      <c r="O718" t="inlineStr">
        <is>
          <t>improve</t>
        </is>
      </c>
      <c r="P718" t="inlineStr">
        <is>
          <t>adjusted decimals</t>
        </is>
      </c>
      <c r="Q718" t="inlineStr"/>
      <c r="R718" t="inlineStr"/>
      <c r="S718">
        <f>HYPERLINK("https://helical-indexing-hi3d.streamlit.app/?emd_id=emd-10593&amp;rise=3.117256168&amp;twist=65.91299815&amp;csym=1&amp;rise2=3.14&amp;twist2=65.9&amp;csym2=1", "Link")</f>
        <v/>
      </c>
    </row>
    <row r="719">
      <c r="A719" t="inlineStr">
        <is>
          <t>EMD-20843</t>
        </is>
      </c>
      <c r="B719" t="inlineStr">
        <is>
          <t>non-amyloid</t>
        </is>
      </c>
      <c r="C719" t="n">
        <v>3.2</v>
      </c>
      <c r="D719" t="n">
        <v>27.03</v>
      </c>
      <c r="E719" t="n">
        <v>-166.88</v>
      </c>
      <c r="F719" t="inlineStr">
        <is>
          <t>C1</t>
        </is>
      </c>
      <c r="G719" t="inlineStr"/>
      <c r="H719" t="inlineStr"/>
      <c r="I719" t="inlineStr">
        <is>
          <t>C1</t>
        </is>
      </c>
      <c r="J719" t="inlineStr"/>
      <c r="K719" t="inlineStr">
        <is>
          <t>z -&gt; x</t>
        </is>
      </c>
      <c r="L719" t="n">
        <v>0.37204</v>
      </c>
      <c r="M719" t="inlineStr"/>
      <c r="N719" t="inlineStr">
        <is>
          <t>No</t>
        </is>
      </c>
      <c r="O719" t="inlineStr"/>
      <c r="P719" t="inlineStr">
        <is>
          <t>single unit</t>
        </is>
      </c>
      <c r="Q719" t="inlineStr"/>
      <c r="R719" t="inlineStr"/>
      <c r="S719">
        <f>HYPERLINK("https://helical-indexing-hi3d.streamlit.app/?emd_id=emd-20843&amp;rise=nan&amp;twist=nan&amp;csym=1&amp;rise2=27.03&amp;twist2=-166.88&amp;csym2=1", "Link")</f>
        <v/>
      </c>
    </row>
    <row r="720">
      <c r="A720" t="inlineStr">
        <is>
          <t>EMD-13507</t>
        </is>
      </c>
      <c r="B720" t="inlineStr">
        <is>
          <t>non-amyloid</t>
        </is>
      </c>
      <c r="C720" t="n">
        <v>3.2</v>
      </c>
      <c r="D720" t="inlineStr"/>
      <c r="E720" t="inlineStr"/>
      <c r="F720" t="inlineStr"/>
      <c r="G720" t="inlineStr">
        <is>
          <t>54.43</t>
        </is>
      </c>
      <c r="H720" t="n">
        <v>166.11</v>
      </c>
      <c r="I720" t="inlineStr">
        <is>
          <t>C1</t>
        </is>
      </c>
      <c r="J720" t="inlineStr"/>
      <c r="K720" t="inlineStr">
        <is>
          <t> </t>
        </is>
      </c>
      <c r="L720" t="inlineStr"/>
      <c r="M720" t="n">
        <v>0.764149352</v>
      </c>
      <c r="N720" t="inlineStr">
        <is>
          <t>Yes</t>
        </is>
      </c>
      <c r="O720" t="inlineStr">
        <is>
          <t>improve</t>
        </is>
      </c>
      <c r="P720" t="inlineStr">
        <is>
          <t>no EMDB values</t>
        </is>
      </c>
      <c r="Q720" t="inlineStr"/>
      <c r="R720" t="inlineStr"/>
      <c r="S720" t="inlineStr"/>
    </row>
    <row r="721">
      <c r="A721" t="inlineStr">
        <is>
          <t>EMD-28717</t>
        </is>
      </c>
      <c r="B721" t="inlineStr">
        <is>
          <t>non-amyloid</t>
        </is>
      </c>
      <c r="C721" t="n">
        <v>3.2</v>
      </c>
      <c r="D721" t="n">
        <v>3.1</v>
      </c>
      <c r="E721" t="n">
        <v>-20.8</v>
      </c>
      <c r="F721" t="inlineStr">
        <is>
          <t>C1</t>
        </is>
      </c>
      <c r="G721" t="inlineStr">
        <is>
          <t>3.1</t>
        </is>
      </c>
      <c r="H721" t="n">
        <v>-20.8</v>
      </c>
      <c r="I721" t="inlineStr">
        <is>
          <t>C1</t>
        </is>
      </c>
      <c r="J721" t="n">
        <v>0</v>
      </c>
      <c r="K721" t="inlineStr"/>
      <c r="L721" t="n">
        <v>0.804816519</v>
      </c>
      <c r="M721" t="n">
        <v>0.804816519</v>
      </c>
      <c r="N721" t="inlineStr">
        <is>
          <t>Yes</t>
        </is>
      </c>
      <c r="O721" t="inlineStr">
        <is>
          <t>equal</t>
        </is>
      </c>
      <c r="P721" t="inlineStr">
        <is>
          <t>deposited</t>
        </is>
      </c>
      <c r="Q721" t="inlineStr"/>
      <c r="R721" t="inlineStr"/>
      <c r="S721">
        <f>HYPERLINK("https://helical-indexing-hi3d.streamlit.app/?emd_id=emd-28717&amp;rise=3.1&amp;twist=-20.8&amp;csym=1&amp;rise2=3.1&amp;twist2=-20.8&amp;csym2=1", "Link")</f>
        <v/>
      </c>
    </row>
    <row r="722">
      <c r="A722" t="inlineStr">
        <is>
          <t>EMD-31153</t>
        </is>
      </c>
      <c r="B722" t="inlineStr">
        <is>
          <t>non-amyloid</t>
        </is>
      </c>
      <c r="C722" t="n">
        <v>3.21</v>
      </c>
      <c r="D722" t="n">
        <v>15.88</v>
      </c>
      <c r="E722" t="n">
        <v>56.7</v>
      </c>
      <c r="F722" t="inlineStr">
        <is>
          <t>C1</t>
        </is>
      </c>
      <c r="G722" t="inlineStr">
        <is>
          <t>15.92483049</t>
        </is>
      </c>
      <c r="H722" t="n">
        <v>54.81547746</v>
      </c>
      <c r="I722" t="inlineStr">
        <is>
          <t>C1</t>
        </is>
      </c>
      <c r="J722" t="n">
        <v>0.7247060198292925</v>
      </c>
      <c r="K722" t="inlineStr"/>
      <c r="L722" t="n">
        <v>0.562652472</v>
      </c>
      <c r="M722" t="n">
        <v>0.967842309</v>
      </c>
      <c r="N722" t="inlineStr">
        <is>
          <t>Yes</t>
        </is>
      </c>
      <c r="O722" t="inlineStr">
        <is>
          <t>improve</t>
        </is>
      </c>
      <c r="P722" t="inlineStr">
        <is>
          <t>adjusted decimals</t>
        </is>
      </c>
      <c r="Q722" t="inlineStr"/>
      <c r="R722" t="inlineStr"/>
      <c r="S722">
        <f>HYPERLINK("https://helical-indexing-hi3d.streamlit.app/?emd_id=emd-31153&amp;rise=15.92483049&amp;twist=54.81547746&amp;csym=1&amp;rise2=15.88&amp;twist2=56.7&amp;csym2=1", "Link")</f>
        <v/>
      </c>
    </row>
    <row r="723">
      <c r="A723" t="inlineStr">
        <is>
          <t>EMD-10647</t>
        </is>
      </c>
      <c r="B723" t="inlineStr">
        <is>
          <t>non-amyloid</t>
        </is>
      </c>
      <c r="C723" t="n">
        <v>3.22</v>
      </c>
      <c r="D723" t="n">
        <v>9.33</v>
      </c>
      <c r="E723" t="n">
        <v>92.5</v>
      </c>
      <c r="F723" t="inlineStr">
        <is>
          <t>C1</t>
        </is>
      </c>
      <c r="G723" t="inlineStr">
        <is>
          <t>9.224759768</t>
        </is>
      </c>
      <c r="H723" t="n">
        <v>92.36437108</v>
      </c>
      <c r="I723" t="inlineStr">
        <is>
          <t>C1</t>
        </is>
      </c>
      <c r="J723" t="n">
        <v>0.1108971816079364</v>
      </c>
      <c r="K723" t="inlineStr"/>
      <c r="L723" t="n">
        <v>0.86511</v>
      </c>
      <c r="M723" t="n">
        <v>0.888639022</v>
      </c>
      <c r="N723" t="inlineStr">
        <is>
          <t>Yes</t>
        </is>
      </c>
      <c r="O723" t="inlineStr">
        <is>
          <t>improve</t>
        </is>
      </c>
      <c r="P723" t="inlineStr">
        <is>
          <t>adjusted decimals</t>
        </is>
      </c>
      <c r="Q723" t="inlineStr"/>
      <c r="R723" t="inlineStr"/>
      <c r="S723">
        <f>HYPERLINK("https://helical-indexing-hi3d.streamlit.app/?emd_id=emd-10647&amp;rise=9.224759768&amp;twist=92.36437108&amp;csym=1&amp;rise2=9.33&amp;twist2=92.5&amp;csym2=1", "Link")</f>
        <v/>
      </c>
    </row>
    <row r="724">
      <c r="A724" t="inlineStr">
        <is>
          <t>EMD-28019</t>
        </is>
      </c>
      <c r="B724" t="inlineStr">
        <is>
          <t>non-amyloid</t>
        </is>
      </c>
      <c r="C724" t="n">
        <v>3.23</v>
      </c>
      <c r="D724" t="n">
        <v>39.15</v>
      </c>
      <c r="E724" t="n">
        <v>19.32</v>
      </c>
      <c r="F724" t="inlineStr">
        <is>
          <t>C6</t>
        </is>
      </c>
      <c r="G724" t="inlineStr">
        <is>
          <t>39.15</t>
        </is>
      </c>
      <c r="H724" t="n">
        <v>19.32</v>
      </c>
      <c r="I724" t="inlineStr">
        <is>
          <t>C6</t>
        </is>
      </c>
      <c r="J724" t="n">
        <v>0</v>
      </c>
      <c r="K724" t="inlineStr"/>
      <c r="L724" t="n">
        <v>0.983606533</v>
      </c>
      <c r="M724" t="n">
        <v>0.983606533</v>
      </c>
      <c r="N724" t="inlineStr">
        <is>
          <t>Yes</t>
        </is>
      </c>
      <c r="O724" t="inlineStr">
        <is>
          <t>equal</t>
        </is>
      </c>
      <c r="P724" t="inlineStr">
        <is>
          <t>deposited</t>
        </is>
      </c>
      <c r="Q724" t="inlineStr"/>
      <c r="R724" t="inlineStr"/>
      <c r="S724">
        <f>HYPERLINK("https://helical-indexing-hi3d.streamlit.app/?emd_id=emd-28019&amp;rise=39.15&amp;twist=19.32&amp;csym=6&amp;rise2=39.15&amp;twist2=19.32&amp;csym2=6", "Link")</f>
        <v/>
      </c>
    </row>
    <row r="725">
      <c r="A725" t="inlineStr">
        <is>
          <t>EMD-40215</t>
        </is>
      </c>
      <c r="B725" t="inlineStr">
        <is>
          <t>non-amyloid</t>
        </is>
      </c>
      <c r="C725" t="n">
        <v>3.23</v>
      </c>
      <c r="D725" t="n">
        <v>12.933</v>
      </c>
      <c r="E725" t="n">
        <v>37.439</v>
      </c>
      <c r="F725" t="inlineStr">
        <is>
          <t>C1</t>
        </is>
      </c>
      <c r="G725" t="inlineStr"/>
      <c r="H725" t="inlineStr"/>
      <c r="I725" t="inlineStr">
        <is>
          <t>C1</t>
        </is>
      </c>
      <c r="J725" t="inlineStr"/>
      <c r="K725" t="inlineStr"/>
      <c r="L725" t="n">
        <v>0.546325961</v>
      </c>
      <c r="M725" t="n">
        <v>0.549958788</v>
      </c>
      <c r="N725" t="inlineStr">
        <is>
          <t>Excluded</t>
        </is>
      </c>
      <c r="O725" t="inlineStr">
        <is>
          <t>improve</t>
        </is>
      </c>
      <c r="P725" t="inlineStr">
        <is>
          <t>partial map</t>
        </is>
      </c>
      <c r="Q725" t="inlineStr"/>
      <c r="R725" t="inlineStr"/>
      <c r="S725">
        <f>HYPERLINK("https://helical-indexing-hi3d.streamlit.app/?emd_id=emd-40215&amp;rise=nan&amp;twist=nan&amp;csym=1&amp;rise2=12.933&amp;twist2=37.439&amp;csym2=1", "Link")</f>
        <v/>
      </c>
    </row>
    <row r="726">
      <c r="A726" t="inlineStr">
        <is>
          <t>EMD-12762</t>
        </is>
      </c>
      <c r="B726" t="inlineStr">
        <is>
          <t>non-amyloid</t>
        </is>
      </c>
      <c r="C726" t="n">
        <v>3.25</v>
      </c>
      <c r="D726" t="n">
        <v>27.657</v>
      </c>
      <c r="E726" t="n">
        <v>-166.594</v>
      </c>
      <c r="F726" t="inlineStr">
        <is>
          <t>C1</t>
        </is>
      </c>
      <c r="G726" t="inlineStr">
        <is>
          <t>27.657</t>
        </is>
      </c>
      <c r="H726" t="n">
        <v>-166.594</v>
      </c>
      <c r="I726" t="inlineStr">
        <is>
          <t>C1</t>
        </is>
      </c>
      <c r="J726" t="n">
        <v>0</v>
      </c>
      <c r="K726" t="inlineStr"/>
      <c r="L726" t="n">
        <v>0.96758227</v>
      </c>
      <c r="M726" t="n">
        <v>0.96758227</v>
      </c>
      <c r="N726" t="inlineStr">
        <is>
          <t>Yes</t>
        </is>
      </c>
      <c r="O726" t="inlineStr">
        <is>
          <t>equal</t>
        </is>
      </c>
      <c r="P726" t="inlineStr">
        <is>
          <t>deposited</t>
        </is>
      </c>
      <c r="Q726" t="inlineStr"/>
      <c r="R726" t="inlineStr"/>
      <c r="S726">
        <f>HYPERLINK("https://helical-indexing-hi3d.streamlit.app/?emd_id=emd-12762&amp;rise=27.657&amp;twist=-166.594&amp;csym=1&amp;rise2=27.657&amp;twist2=-166.594&amp;csym2=1", "Link")</f>
        <v/>
      </c>
    </row>
    <row r="727">
      <c r="A727" t="inlineStr">
        <is>
          <t>EMD-34151</t>
        </is>
      </c>
      <c r="B727" t="inlineStr">
        <is>
          <t>non-amyloid</t>
        </is>
      </c>
      <c r="C727" t="n">
        <v>3.26</v>
      </c>
      <c r="D727" t="n">
        <v>31.5</v>
      </c>
      <c r="E727" t="n">
        <v>118</v>
      </c>
      <c r="F727" t="inlineStr">
        <is>
          <t>C1</t>
        </is>
      </c>
      <c r="G727" t="inlineStr"/>
      <c r="H727" t="inlineStr"/>
      <c r="I727" t="inlineStr">
        <is>
          <t>C1</t>
        </is>
      </c>
      <c r="J727" t="inlineStr"/>
      <c r="K727" t="inlineStr"/>
      <c r="L727" t="n">
        <v>0.5487300000000001</v>
      </c>
      <c r="M727" t="n">
        <v>0.515304871</v>
      </c>
      <c r="N727" t="inlineStr">
        <is>
          <t>Excluded</t>
        </is>
      </c>
      <c r="O727" t="inlineStr">
        <is>
          <t>worse</t>
        </is>
      </c>
      <c r="P727" t="inlineStr">
        <is>
          <t>focus reconstruction</t>
        </is>
      </c>
      <c r="Q727" t="inlineStr"/>
      <c r="R727" t="inlineStr"/>
      <c r="S727">
        <f>HYPERLINK("https://helical-indexing-hi3d.streamlit.app/?emd_id=emd-34151&amp;rise=nan&amp;twist=nan&amp;csym=1&amp;rise2=31.5&amp;twist2=118.0&amp;csym2=1", "Link")</f>
        <v/>
      </c>
    </row>
    <row r="728">
      <c r="A728" t="inlineStr">
        <is>
          <t>EMD-3600</t>
        </is>
      </c>
      <c r="B728" t="inlineStr">
        <is>
          <t>non-amyloid</t>
        </is>
      </c>
      <c r="C728" t="n">
        <v>3.28</v>
      </c>
      <c r="D728" t="n">
        <v>20.2</v>
      </c>
      <c r="E728" t="n">
        <v>27.7</v>
      </c>
      <c r="F728" t="inlineStr">
        <is>
          <t>C1</t>
        </is>
      </c>
      <c r="G728" t="inlineStr">
        <is>
          <t>3.356009122</t>
        </is>
      </c>
      <c r="H728" t="n">
        <v>-55.39598788</v>
      </c>
      <c r="I728" t="inlineStr">
        <is>
          <t>C1</t>
        </is>
      </c>
      <c r="J728" t="n">
        <v>35.31313538027506</v>
      </c>
      <c r="K728" t="inlineStr"/>
      <c r="L728" t="n">
        <v>0.91143</v>
      </c>
      <c r="M728" t="n">
        <v>0.9126874740000001</v>
      </c>
      <c r="N728" t="inlineStr">
        <is>
          <t>Yes</t>
        </is>
      </c>
      <c r="O728" t="inlineStr">
        <is>
          <t>improve</t>
        </is>
      </c>
      <c r="P728" t="inlineStr">
        <is>
          <t>different</t>
        </is>
      </c>
      <c r="Q728" t="inlineStr">
        <is>
          <t>partial symmetry</t>
        </is>
      </c>
      <c r="R728" t="inlineStr"/>
      <c r="S728">
        <f>HYPERLINK("https://helical-indexing-hi3d.streamlit.app/?emd_id=emd-3600&amp;rise=3.356009122&amp;twist=-55.39598788&amp;csym=1&amp;rise2=20.2&amp;twist2=27.7&amp;csym2=1", "Link")</f>
        <v/>
      </c>
    </row>
    <row r="729">
      <c r="A729" t="inlineStr">
        <is>
          <t>EMD-28151</t>
        </is>
      </c>
      <c r="B729" t="inlineStr">
        <is>
          <t>non-amyloid</t>
        </is>
      </c>
      <c r="C729" t="n">
        <v>3.3</v>
      </c>
      <c r="D729" t="n">
        <v>8.800000000000001</v>
      </c>
      <c r="E729" t="n">
        <v>108</v>
      </c>
      <c r="F729" t="inlineStr">
        <is>
          <t>C1</t>
        </is>
      </c>
      <c r="G729" t="inlineStr"/>
      <c r="H729" t="inlineStr"/>
      <c r="I729" t="inlineStr">
        <is>
          <t>C1</t>
        </is>
      </c>
      <c r="J729" t="inlineStr"/>
      <c r="K729" t="inlineStr"/>
      <c r="L729" t="n">
        <v>0.13395</v>
      </c>
      <c r="M729" t="n">
        <v>0.718222716</v>
      </c>
      <c r="N729" t="inlineStr">
        <is>
          <t>Excluded</t>
        </is>
      </c>
      <c r="O729" t="inlineStr">
        <is>
          <t>improve</t>
        </is>
      </c>
      <c r="P729" t="inlineStr">
        <is>
          <t>focus reconstruction</t>
        </is>
      </c>
      <c r="Q729" t="inlineStr"/>
      <c r="R729" t="inlineStr"/>
      <c r="S729">
        <f>HYPERLINK("https://helical-indexing-hi3d.streamlit.app/?emd_id=emd-28151&amp;rise=nan&amp;twist=nan&amp;csym=1&amp;rise2=8.8&amp;twist2=108.0&amp;csym2=1", "Link")</f>
        <v/>
      </c>
    </row>
    <row r="730">
      <c r="A730" t="inlineStr">
        <is>
          <t>EMD-7974</t>
        </is>
      </c>
      <c r="B730" t="inlineStr">
        <is>
          <t>microtubule</t>
        </is>
      </c>
      <c r="C730" t="n">
        <v>3.3</v>
      </c>
      <c r="D730" t="n">
        <v>8.754</v>
      </c>
      <c r="E730" t="n">
        <v>-25.766</v>
      </c>
      <c r="F730" t="inlineStr">
        <is>
          <t>C1</t>
        </is>
      </c>
      <c r="G730" t="inlineStr">
        <is>
          <t>8.754</t>
        </is>
      </c>
      <c r="H730" t="n">
        <v>-25.766</v>
      </c>
      <c r="I730" t="inlineStr">
        <is>
          <t>C1</t>
        </is>
      </c>
      <c r="J730" t="n">
        <v>0</v>
      </c>
      <c r="K730" t="inlineStr"/>
      <c r="L730" t="n">
        <v>0.745035501</v>
      </c>
      <c r="M730" t="n">
        <v>0.745035501</v>
      </c>
      <c r="N730" t="inlineStr">
        <is>
          <t>No</t>
        </is>
      </c>
      <c r="O730" t="inlineStr">
        <is>
          <t>equal</t>
        </is>
      </c>
      <c r="P730" t="inlineStr">
        <is>
          <t>deposited</t>
        </is>
      </c>
      <c r="Q730" t="inlineStr"/>
      <c r="R730" t="inlineStr"/>
      <c r="S730">
        <f>HYPERLINK("https://helical-indexing-hi3d.streamlit.app/?emd_id=emd-7974&amp;rise=8.754&amp;twist=-25.766&amp;csym=1&amp;rise2=8.754&amp;twist2=-25.766&amp;csym2=1", "Link")</f>
        <v/>
      </c>
    </row>
    <row r="731">
      <c r="A731" t="inlineStr">
        <is>
          <t>EMD-6349</t>
        </is>
      </c>
      <c r="B731" t="inlineStr">
        <is>
          <t>microtubule</t>
        </is>
      </c>
      <c r="C731" t="n">
        <v>3.3</v>
      </c>
      <c r="D731" t="n">
        <v>9.449999999999999</v>
      </c>
      <c r="E731" t="n">
        <v>27.72</v>
      </c>
      <c r="F731" t="inlineStr">
        <is>
          <t>C1</t>
        </is>
      </c>
      <c r="G731" t="inlineStr">
        <is>
          <t>81.52</t>
        </is>
      </c>
      <c r="H731" t="n">
        <v>-0.25</v>
      </c>
      <c r="I731" t="inlineStr">
        <is>
          <t>C1</t>
        </is>
      </c>
      <c r="J731" t="n">
        <v>72.90920438524532</v>
      </c>
      <c r="K731" t="inlineStr"/>
      <c r="L731" t="n">
        <v>0.32134739</v>
      </c>
      <c r="M731" t="n">
        <v>0.883488456</v>
      </c>
      <c r="N731" t="inlineStr">
        <is>
          <t>Yes</t>
        </is>
      </c>
      <c r="O731" t="inlineStr">
        <is>
          <t>improve</t>
        </is>
      </c>
      <c r="P731" t="inlineStr">
        <is>
          <t>different</t>
        </is>
      </c>
      <c r="Q731" t="inlineStr">
        <is>
          <t>wrong</t>
        </is>
      </c>
      <c r="R731" t="inlineStr"/>
      <c r="S731">
        <f>HYPERLINK("https://helical-indexing-hi3d.streamlit.app/?emd_id=emd-6349&amp;rise=81.52&amp;twist=-0.25&amp;csym=1&amp;rise2=9.45&amp;twist2=27.72&amp;csym2=1", "Link")</f>
        <v/>
      </c>
    </row>
    <row r="732">
      <c r="A732" t="inlineStr">
        <is>
          <t>EMD-12879</t>
        </is>
      </c>
      <c r="B732" t="inlineStr">
        <is>
          <t>non-amyloid</t>
        </is>
      </c>
      <c r="C732" t="n">
        <v>3.3</v>
      </c>
      <c r="D732" t="n">
        <v>3.959</v>
      </c>
      <c r="E732" t="n">
        <v>41.11</v>
      </c>
      <c r="F732" t="inlineStr">
        <is>
          <t>C1</t>
        </is>
      </c>
      <c r="G732" t="inlineStr">
        <is>
          <t>3.980511141</t>
        </is>
      </c>
      <c r="H732" t="n">
        <v>-41.19099561</v>
      </c>
      <c r="I732" t="inlineStr">
        <is>
          <t>C1</t>
        </is>
      </c>
      <c r="J732" t="n">
        <v>41.03246855066473</v>
      </c>
      <c r="K732" t="inlineStr">
        <is>
          <t> </t>
        </is>
      </c>
      <c r="L732" t="n">
        <v>0.7583</v>
      </c>
      <c r="M732" t="n">
        <v>0.941175047</v>
      </c>
      <c r="N732" t="inlineStr">
        <is>
          <t>Yes</t>
        </is>
      </c>
      <c r="O732" t="inlineStr">
        <is>
          <t>improve</t>
        </is>
      </c>
      <c r="P732" t="inlineStr">
        <is>
          <t>twist sign</t>
        </is>
      </c>
      <c r="Q732" t="inlineStr"/>
      <c r="R732" t="inlineStr"/>
      <c r="S732">
        <f>HYPERLINK("https://helical-indexing-hi3d.streamlit.app/?emd_id=emd-12879&amp;rise=3.980511141&amp;twist=-41.19099561&amp;csym=1&amp;rise2=3.959&amp;twist2=41.11&amp;csym2=1", "Link")</f>
        <v/>
      </c>
    </row>
    <row r="733">
      <c r="A733" t="inlineStr">
        <is>
          <t>EMD-13501</t>
        </is>
      </c>
      <c r="B733" t="inlineStr">
        <is>
          <t>non-amyloid</t>
        </is>
      </c>
      <c r="C733" t="n">
        <v>3.3</v>
      </c>
      <c r="D733" t="inlineStr"/>
      <c r="E733" t="inlineStr"/>
      <c r="F733" t="inlineStr"/>
      <c r="G733" t="inlineStr"/>
      <c r="H733" t="inlineStr"/>
      <c r="I733" t="inlineStr">
        <is>
          <t>Cnan</t>
        </is>
      </c>
      <c r="J733" t="inlineStr"/>
      <c r="K733" t="inlineStr"/>
      <c r="L733" t="inlineStr"/>
      <c r="M733" t="inlineStr"/>
      <c r="N733" t="inlineStr">
        <is>
          <t>No</t>
        </is>
      </c>
      <c r="O733" t="inlineStr"/>
      <c r="P733" t="inlineStr">
        <is>
          <t>single unit</t>
        </is>
      </c>
      <c r="Q733" t="inlineStr"/>
      <c r="R733" t="inlineStr"/>
      <c r="S733" t="inlineStr"/>
    </row>
    <row r="734">
      <c r="A734" t="inlineStr">
        <is>
          <t>EMD-23084</t>
        </is>
      </c>
      <c r="B734" t="inlineStr">
        <is>
          <t>non-amyloid</t>
        </is>
      </c>
      <c r="C734" t="n">
        <v>3.3</v>
      </c>
      <c r="D734" t="n">
        <v>82</v>
      </c>
      <c r="E734" t="n">
        <v>0</v>
      </c>
      <c r="F734" t="inlineStr">
        <is>
          <t>C1</t>
        </is>
      </c>
      <c r="G734" t="inlineStr"/>
      <c r="H734" t="inlineStr"/>
      <c r="I734" t="inlineStr">
        <is>
          <t>C1</t>
        </is>
      </c>
      <c r="J734" t="inlineStr"/>
      <c r="K734" t="inlineStr"/>
      <c r="L734" t="n">
        <v>0.69404</v>
      </c>
      <c r="M734" t="n">
        <v>0.675010164</v>
      </c>
      <c r="N734" t="inlineStr">
        <is>
          <t>Excluded</t>
        </is>
      </c>
      <c r="O734" t="inlineStr">
        <is>
          <t>worse</t>
        </is>
      </c>
      <c r="P734" t="inlineStr">
        <is>
          <t>focus reconstruction</t>
        </is>
      </c>
      <c r="Q734" t="inlineStr"/>
      <c r="R734" t="inlineStr"/>
      <c r="S734">
        <f>HYPERLINK("https://helical-indexing-hi3d.streamlit.app/?emd_id=emd-23084&amp;rise=nan&amp;twist=nan&amp;csym=1&amp;rise2=82.0&amp;twist2=0.0&amp;csym2=1", "Link")</f>
        <v/>
      </c>
    </row>
    <row r="735">
      <c r="A735" t="inlineStr">
        <is>
          <t>EMD-28082</t>
        </is>
      </c>
      <c r="B735" t="inlineStr">
        <is>
          <t>non-amyloid</t>
        </is>
      </c>
      <c r="C735" t="n">
        <v>3.3</v>
      </c>
      <c r="D735" t="n">
        <v>27.9</v>
      </c>
      <c r="E735" t="n">
        <v>-166.8</v>
      </c>
      <c r="F735" t="inlineStr">
        <is>
          <t>C1</t>
        </is>
      </c>
      <c r="G735" t="inlineStr">
        <is>
          <t>27.9</t>
        </is>
      </c>
      <c r="H735" t="n">
        <v>-166.8</v>
      </c>
      <c r="I735" t="inlineStr">
        <is>
          <t>C1</t>
        </is>
      </c>
      <c r="J735" t="n">
        <v>0</v>
      </c>
      <c r="K735" t="inlineStr"/>
      <c r="L735" t="n">
        <v>0.8408833999999999</v>
      </c>
      <c r="M735" t="n">
        <v>0.8408833999999999</v>
      </c>
      <c r="N735" t="inlineStr">
        <is>
          <t>Yes</t>
        </is>
      </c>
      <c r="O735" t="inlineStr">
        <is>
          <t>equal</t>
        </is>
      </c>
      <c r="P735" t="inlineStr">
        <is>
          <t>deposited</t>
        </is>
      </c>
      <c r="Q735" t="inlineStr"/>
      <c r="R735" t="inlineStr"/>
      <c r="S735">
        <f>HYPERLINK("https://helical-indexing-hi3d.streamlit.app/?emd_id=emd-28082&amp;rise=27.9&amp;twist=-166.8&amp;csym=1&amp;rise2=27.9&amp;twist2=-166.8&amp;csym2=1", "Link")</f>
        <v/>
      </c>
    </row>
    <row r="736">
      <c r="A736" t="inlineStr">
        <is>
          <t>EMD-10589</t>
        </is>
      </c>
      <c r="B736" t="inlineStr">
        <is>
          <t>non-amyloid</t>
        </is>
      </c>
      <c r="C736" t="n">
        <v>3.3</v>
      </c>
      <c r="D736" t="n">
        <v>28.37</v>
      </c>
      <c r="E736" t="n">
        <v>-166.931</v>
      </c>
      <c r="F736" t="inlineStr">
        <is>
          <t>C1</t>
        </is>
      </c>
      <c r="G736" t="inlineStr">
        <is>
          <t>28.37</t>
        </is>
      </c>
      <c r="H736" t="n">
        <v>-166.931</v>
      </c>
      <c r="I736" t="inlineStr">
        <is>
          <t>C1</t>
        </is>
      </c>
      <c r="J736" t="n">
        <v>0</v>
      </c>
      <c r="K736" t="inlineStr"/>
      <c r="L736" t="n">
        <v>0.95869</v>
      </c>
      <c r="M736" t="n">
        <v>0.95869</v>
      </c>
      <c r="N736" t="inlineStr">
        <is>
          <t>Yes</t>
        </is>
      </c>
      <c r="O736" t="inlineStr">
        <is>
          <t>equal</t>
        </is>
      </c>
      <c r="P736" t="inlineStr">
        <is>
          <t>deposited</t>
        </is>
      </c>
      <c r="Q736" t="inlineStr"/>
      <c r="R736" t="inlineStr"/>
      <c r="S736">
        <f>HYPERLINK("https://helical-indexing-hi3d.streamlit.app/?emd_id=emd-10589&amp;rise=28.37&amp;twist=-166.931&amp;csym=1&amp;rise2=28.37&amp;twist2=-166.931&amp;csym2=1", "Link")</f>
        <v/>
      </c>
    </row>
    <row r="737">
      <c r="A737" t="inlineStr">
        <is>
          <t>EMD-13863</t>
        </is>
      </c>
      <c r="B737" t="inlineStr">
        <is>
          <t>non-amyloid</t>
        </is>
      </c>
      <c r="C737" t="n">
        <v>3.3</v>
      </c>
      <c r="D737" t="n">
        <v>27.77</v>
      </c>
      <c r="E737" t="n">
        <v>-166.61</v>
      </c>
      <c r="F737" t="inlineStr">
        <is>
          <t>C1</t>
        </is>
      </c>
      <c r="G737" t="inlineStr">
        <is>
          <t>27.77</t>
        </is>
      </c>
      <c r="H737" t="n">
        <v>-166.61</v>
      </c>
      <c r="I737" t="inlineStr">
        <is>
          <t>C1</t>
        </is>
      </c>
      <c r="J737" t="n">
        <v>0</v>
      </c>
      <c r="K737" t="inlineStr">
        <is>
          <t>z -&gt; x</t>
        </is>
      </c>
      <c r="L737" t="n">
        <v>0.95045</v>
      </c>
      <c r="M737" t="n">
        <v>0.95045</v>
      </c>
      <c r="N737" t="inlineStr">
        <is>
          <t>Yes</t>
        </is>
      </c>
      <c r="O737" t="inlineStr">
        <is>
          <t>equal</t>
        </is>
      </c>
      <c r="P737" t="inlineStr">
        <is>
          <t>deposited</t>
        </is>
      </c>
      <c r="Q737" t="inlineStr"/>
      <c r="R737" t="inlineStr"/>
      <c r="S737">
        <f>HYPERLINK("https://helical-indexing-hi3d.streamlit.app/?emd_id=emd-13863&amp;rise=27.77&amp;twist=-166.61&amp;csym=1&amp;rise2=27.77&amp;twist2=-166.61&amp;csym2=1", "Link")</f>
        <v/>
      </c>
    </row>
    <row r="738">
      <c r="A738" t="inlineStr">
        <is>
          <t>EMD-9946</t>
        </is>
      </c>
      <c r="B738" t="inlineStr">
        <is>
          <t>non-amyloid</t>
        </is>
      </c>
      <c r="C738" t="n">
        <v>3.3</v>
      </c>
      <c r="D738" t="n">
        <v>5.17</v>
      </c>
      <c r="E738" t="n">
        <v>-100.55</v>
      </c>
      <c r="F738" t="inlineStr">
        <is>
          <t>C1</t>
        </is>
      </c>
      <c r="G738" t="inlineStr">
        <is>
          <t>5.17</t>
        </is>
      </c>
      <c r="H738" t="n">
        <v>-100.55</v>
      </c>
      <c r="I738" t="inlineStr">
        <is>
          <t>C1</t>
        </is>
      </c>
      <c r="J738" t="n">
        <v>0</v>
      </c>
      <c r="K738" t="inlineStr"/>
      <c r="L738" t="n">
        <v>0.97389</v>
      </c>
      <c r="M738" t="n">
        <v>0.97389</v>
      </c>
      <c r="N738" t="inlineStr">
        <is>
          <t>Yes</t>
        </is>
      </c>
      <c r="O738" t="inlineStr">
        <is>
          <t>equal</t>
        </is>
      </c>
      <c r="P738" t="inlineStr">
        <is>
          <t>deposited</t>
        </is>
      </c>
      <c r="Q738" t="inlineStr"/>
      <c r="R738" t="inlineStr"/>
      <c r="S738">
        <f>HYPERLINK("https://helical-indexing-hi3d.streamlit.app/?emd_id=emd-9946&amp;rise=5.17&amp;twist=-100.55&amp;csym=1&amp;rise2=5.17&amp;twist2=-100.55&amp;csym2=1", "Link")</f>
        <v/>
      </c>
    </row>
    <row r="739">
      <c r="A739" t="inlineStr">
        <is>
          <t>EMD-7101</t>
        </is>
      </c>
      <c r="B739" t="inlineStr">
        <is>
          <t>microtubule</t>
        </is>
      </c>
      <c r="C739" t="n">
        <v>3.3</v>
      </c>
      <c r="D739" t="n">
        <v>9.029999999999999</v>
      </c>
      <c r="E739" t="n">
        <v>-25.74</v>
      </c>
      <c r="F739" t="inlineStr">
        <is>
          <t>C1</t>
        </is>
      </c>
      <c r="G739" t="inlineStr">
        <is>
          <t>84.18</t>
        </is>
      </c>
      <c r="H739" t="n">
        <v>-0.23</v>
      </c>
      <c r="I739" t="inlineStr">
        <is>
          <t>C1</t>
        </is>
      </c>
      <c r="J739" t="n">
        <v>75.29587912</v>
      </c>
      <c r="K739" t="inlineStr"/>
      <c r="L739" t="n">
        <v>0.669399033</v>
      </c>
      <c r="M739" t="n">
        <v>0.758430382</v>
      </c>
      <c r="N739" t="inlineStr">
        <is>
          <t>Yes</t>
        </is>
      </c>
      <c r="O739" t="inlineStr">
        <is>
          <t>improve</t>
        </is>
      </c>
      <c r="P739" t="inlineStr">
        <is>
          <t>different</t>
        </is>
      </c>
      <c r="Q739" t="inlineStr">
        <is>
          <t>wrong</t>
        </is>
      </c>
      <c r="R739" t="inlineStr"/>
      <c r="S739">
        <f>HYPERLINK("https://helical-indexing-hi3d.streamlit.app/?emd_id=emd-7101&amp;rise=84.18&amp;twist=-0.23&amp;csym=1&amp;rise2=9.03&amp;twist2=-25.74&amp;csym2=1", "Link")</f>
        <v/>
      </c>
    </row>
    <row r="740">
      <c r="A740" t="inlineStr">
        <is>
          <t>EMD-18133</t>
        </is>
      </c>
      <c r="B740" t="inlineStr">
        <is>
          <t>non-amyloid</t>
        </is>
      </c>
      <c r="C740" t="n">
        <v>3.3</v>
      </c>
      <c r="D740" t="n">
        <v>14.3</v>
      </c>
      <c r="E740" t="n">
        <v>47.7</v>
      </c>
      <c r="F740" t="inlineStr">
        <is>
          <t>C1</t>
        </is>
      </c>
      <c r="G740" t="inlineStr">
        <is>
          <t>10.70190743</t>
        </is>
      </c>
      <c r="H740" t="n">
        <v>-54.19751924</v>
      </c>
      <c r="I740" t="inlineStr">
        <is>
          <t>C1</t>
        </is>
      </c>
      <c r="J740" t="n">
        <v>50.66225786906733</v>
      </c>
      <c r="K740" t="inlineStr"/>
      <c r="L740" t="n">
        <v>0.588775932</v>
      </c>
      <c r="M740" t="n">
        <v>0.883261765</v>
      </c>
      <c r="N740" t="inlineStr">
        <is>
          <t>Yes</t>
        </is>
      </c>
      <c r="O740" t="inlineStr">
        <is>
          <t>improve</t>
        </is>
      </c>
      <c r="P740" t="inlineStr">
        <is>
          <t>different</t>
        </is>
      </c>
      <c r="Q740" t="inlineStr"/>
      <c r="R740" t="inlineStr"/>
      <c r="S740">
        <f>HYPERLINK("https://helical-indexing-hi3d.streamlit.app/?emd_id=emd-18133&amp;rise=10.70190743&amp;twist=-54.19751924&amp;csym=1&amp;rise2=14.3&amp;twist2=47.7&amp;csym2=1", "Link")</f>
        <v/>
      </c>
    </row>
    <row r="741">
      <c r="A741" t="inlineStr">
        <is>
          <t>EMD-0142</t>
        </is>
      </c>
      <c r="B741" t="inlineStr">
        <is>
          <t>non-amyloid</t>
        </is>
      </c>
      <c r="C741" t="n">
        <v>3.3</v>
      </c>
      <c r="D741" t="n">
        <v>3.9348776</v>
      </c>
      <c r="E741" t="n">
        <v>-29.159243</v>
      </c>
      <c r="F741" t="inlineStr">
        <is>
          <t>C1</t>
        </is>
      </c>
      <c r="G741" t="inlineStr">
        <is>
          <t>3.9348776</t>
        </is>
      </c>
      <c r="H741" t="n">
        <v>-29.159243</v>
      </c>
      <c r="I741" t="inlineStr">
        <is>
          <t>C1</t>
        </is>
      </c>
      <c r="J741" t="n">
        <v>0</v>
      </c>
      <c r="K741" t="inlineStr"/>
      <c r="L741" t="n">
        <v>0.94053</v>
      </c>
      <c r="M741" t="n">
        <v>0.94053</v>
      </c>
      <c r="N741" t="inlineStr">
        <is>
          <t>Yes</t>
        </is>
      </c>
      <c r="O741" t="inlineStr">
        <is>
          <t>equal</t>
        </is>
      </c>
      <c r="P741" t="inlineStr">
        <is>
          <t>deposited</t>
        </is>
      </c>
      <c r="Q741" t="inlineStr"/>
      <c r="R741" t="inlineStr"/>
      <c r="S741">
        <f>HYPERLINK("https://helical-indexing-hi3d.streamlit.app/?emd_id=emd-0142&amp;rise=3.9348776&amp;twist=-29.159243&amp;csym=1&amp;rise2=3.9348776&amp;twist2=-29.159243&amp;csym2=1", "Link")</f>
        <v/>
      </c>
    </row>
    <row r="742">
      <c r="A742" t="inlineStr">
        <is>
          <t>EMD-0613</t>
        </is>
      </c>
      <c r="B742" t="inlineStr">
        <is>
          <t>microtubule</t>
        </is>
      </c>
      <c r="C742" t="n">
        <v>3.3</v>
      </c>
      <c r="D742" t="n">
        <v>9.300000000000001</v>
      </c>
      <c r="E742" t="n">
        <v>-27.7</v>
      </c>
      <c r="F742" t="inlineStr">
        <is>
          <t>C1</t>
        </is>
      </c>
      <c r="G742" t="inlineStr"/>
      <c r="H742" t="inlineStr"/>
      <c r="I742" t="inlineStr">
        <is>
          <t>C1</t>
        </is>
      </c>
      <c r="J742" t="inlineStr"/>
      <c r="K742" t="inlineStr">
        <is>
          <t>z -&gt; x</t>
        </is>
      </c>
      <c r="L742" t="n">
        <v>0.08416999999999999</v>
      </c>
      <c r="M742" t="inlineStr"/>
      <c r="N742" t="inlineStr">
        <is>
          <t>No</t>
        </is>
      </c>
      <c r="O742" t="inlineStr"/>
      <c r="P742" t="inlineStr">
        <is>
          <t>single unit</t>
        </is>
      </c>
      <c r="Q742" t="inlineStr"/>
      <c r="R742" t="inlineStr"/>
      <c r="S742">
        <f>HYPERLINK("https://helical-indexing-hi3d.streamlit.app/?emd_id=emd-0613&amp;rise=nan&amp;twist=nan&amp;csym=1&amp;rise2=9.3&amp;twist2=-27.7&amp;csym2=1", "Link")</f>
        <v/>
      </c>
    </row>
    <row r="743">
      <c r="A743" t="inlineStr">
        <is>
          <t>EMD-15408</t>
        </is>
      </c>
      <c r="B743" t="inlineStr">
        <is>
          <t>non-amyloid</t>
        </is>
      </c>
      <c r="C743" t="n">
        <v>3.3</v>
      </c>
      <c r="D743" t="n">
        <v>19.4</v>
      </c>
      <c r="E743" t="n">
        <v>70</v>
      </c>
      <c r="F743" t="inlineStr">
        <is>
          <t>C1</t>
        </is>
      </c>
      <c r="G743" t="inlineStr">
        <is>
          <t>19.30194834</t>
        </is>
      </c>
      <c r="H743" t="n">
        <v>-70.06629535</v>
      </c>
      <c r="I743" t="inlineStr">
        <is>
          <t>C1</t>
        </is>
      </c>
      <c r="J743" t="n">
        <v>110.3072658497289</v>
      </c>
      <c r="K743" t="inlineStr">
        <is>
          <t> </t>
        </is>
      </c>
      <c r="L743" t="n">
        <v>0.725181673</v>
      </c>
      <c r="M743" t="n">
        <v>0.925026617</v>
      </c>
      <c r="N743" t="inlineStr">
        <is>
          <t>Yes</t>
        </is>
      </c>
      <c r="O743" t="inlineStr">
        <is>
          <t>improve</t>
        </is>
      </c>
      <c r="P743" t="inlineStr">
        <is>
          <t>twist sign</t>
        </is>
      </c>
      <c r="Q743" t="inlineStr"/>
      <c r="R743" t="inlineStr"/>
      <c r="S743">
        <f>HYPERLINK("https://helical-indexing-hi3d.streamlit.app/?emd_id=emd-15408&amp;rise=19.30194834&amp;twist=-70.06629535&amp;csym=1&amp;rise2=19.4&amp;twist2=70.0&amp;csym2=1", "Link")</f>
        <v/>
      </c>
    </row>
    <row r="744">
      <c r="A744" t="inlineStr">
        <is>
          <t>EMD-5185</t>
        </is>
      </c>
      <c r="B744" t="inlineStr">
        <is>
          <t>non-amyloid</t>
        </is>
      </c>
      <c r="C744" t="n">
        <v>3.3</v>
      </c>
      <c r="D744" t="inlineStr"/>
      <c r="E744" t="inlineStr"/>
      <c r="F744" t="inlineStr"/>
      <c r="G744" t="inlineStr">
        <is>
          <t>1.5</t>
        </is>
      </c>
      <c r="H744" t="n">
        <v>22</v>
      </c>
      <c r="I744" t="inlineStr">
        <is>
          <t>C1</t>
        </is>
      </c>
      <c r="J744" t="inlineStr"/>
      <c r="K744" t="inlineStr">
        <is>
          <t> </t>
        </is>
      </c>
      <c r="L744" t="n">
        <v>0</v>
      </c>
      <c r="M744" t="n">
        <v>0.942448824</v>
      </c>
      <c r="N744" t="inlineStr">
        <is>
          <t>Yes</t>
        </is>
      </c>
      <c r="O744" t="inlineStr">
        <is>
          <t>improve</t>
        </is>
      </c>
      <c r="P744" t="inlineStr">
        <is>
          <t>no EMDB values</t>
        </is>
      </c>
      <c r="Q744" t="inlineStr"/>
      <c r="R744" t="inlineStr"/>
      <c r="S744" t="inlineStr"/>
    </row>
    <row r="745">
      <c r="A745" t="inlineStr">
        <is>
          <t>EMD-29354</t>
        </is>
      </c>
      <c r="B745" t="inlineStr">
        <is>
          <t>non-amyloid</t>
        </is>
      </c>
      <c r="C745" t="n">
        <v>3.3</v>
      </c>
      <c r="D745" t="n">
        <v>34.07</v>
      </c>
      <c r="E745" t="n">
        <v>28.21</v>
      </c>
      <c r="F745" t="inlineStr">
        <is>
          <t>C6</t>
        </is>
      </c>
      <c r="G745" t="inlineStr">
        <is>
          <t>34.04825477</t>
        </is>
      </c>
      <c r="H745" t="n">
        <v>28.12755149</v>
      </c>
      <c r="I745" t="inlineStr">
        <is>
          <t>C6</t>
        </is>
      </c>
      <c r="J745" t="n">
        <v>0.1092603256821951</v>
      </c>
      <c r="K745" t="inlineStr"/>
      <c r="L745" t="n">
        <v>0.8723551939999999</v>
      </c>
      <c r="M745" t="n">
        <v>0.8736343090000001</v>
      </c>
      <c r="N745" t="inlineStr">
        <is>
          <t>Yes</t>
        </is>
      </c>
      <c r="O745" t="inlineStr">
        <is>
          <t>improve</t>
        </is>
      </c>
      <c r="P745" t="inlineStr">
        <is>
          <t>adjusted decimals</t>
        </is>
      </c>
      <c r="Q745" t="inlineStr"/>
      <c r="R745" t="inlineStr"/>
      <c r="S745">
        <f>HYPERLINK("https://helical-indexing-hi3d.streamlit.app/?emd_id=emd-29354&amp;rise=34.04825477&amp;twist=28.12755149&amp;csym=6&amp;rise2=34.07&amp;twist2=28.21&amp;csym2=6", "Link")</f>
        <v/>
      </c>
    </row>
    <row r="746">
      <c r="A746" t="inlineStr">
        <is>
          <t>EMD-21933</t>
        </is>
      </c>
      <c r="B746" t="inlineStr">
        <is>
          <t>microtubule</t>
        </is>
      </c>
      <c r="C746" t="n">
        <v>3.3</v>
      </c>
      <c r="D746" t="n">
        <v>5.48</v>
      </c>
      <c r="E746" t="n">
        <v>168.09</v>
      </c>
      <c r="F746" t="inlineStr">
        <is>
          <t>C1</t>
        </is>
      </c>
      <c r="G746" t="inlineStr"/>
      <c r="H746" t="inlineStr"/>
      <c r="I746" t="inlineStr">
        <is>
          <t>C1</t>
        </is>
      </c>
      <c r="J746" t="inlineStr"/>
      <c r="K746" t="inlineStr"/>
      <c r="L746" t="n">
        <v>0.26501667</v>
      </c>
      <c r="M746" t="n">
        <v>0.26635249</v>
      </c>
      <c r="N746" t="inlineStr">
        <is>
          <t>Excluded</t>
        </is>
      </c>
      <c r="O746" t="inlineStr">
        <is>
          <t>improve</t>
        </is>
      </c>
      <c r="P746" t="inlineStr">
        <is>
          <t>partial map</t>
        </is>
      </c>
      <c r="Q746" t="inlineStr"/>
      <c r="R746" t="inlineStr"/>
      <c r="S746">
        <f>HYPERLINK("https://helical-indexing-hi3d.streamlit.app/?emd_id=emd-21933&amp;rise=nan&amp;twist=nan&amp;csym=1&amp;rise2=5.48&amp;twist2=168.09&amp;csym2=1", "Link")</f>
        <v/>
      </c>
    </row>
    <row r="747">
      <c r="A747" t="inlineStr">
        <is>
          <t>EMD-27820</t>
        </is>
      </c>
      <c r="B747" t="inlineStr">
        <is>
          <t>non-amyloid</t>
        </is>
      </c>
      <c r="C747" t="n">
        <v>3.3</v>
      </c>
      <c r="D747" t="n">
        <v>9.9</v>
      </c>
      <c r="E747" t="n">
        <v>33.6</v>
      </c>
      <c r="F747" t="inlineStr">
        <is>
          <t>C5</t>
        </is>
      </c>
      <c r="G747" t="inlineStr">
        <is>
          <t>9.9</t>
        </is>
      </c>
      <c r="H747" t="n">
        <v>33.6</v>
      </c>
      <c r="I747" t="inlineStr">
        <is>
          <t>C5</t>
        </is>
      </c>
      <c r="J747" t="n">
        <v>0</v>
      </c>
      <c r="K747" t="inlineStr"/>
      <c r="L747" t="n">
        <v>0.82958</v>
      </c>
      <c r="M747" t="n">
        <v>0.82958</v>
      </c>
      <c r="N747" t="inlineStr">
        <is>
          <t>Yes</t>
        </is>
      </c>
      <c r="O747" t="inlineStr">
        <is>
          <t>equal</t>
        </is>
      </c>
      <c r="P747" t="inlineStr">
        <is>
          <t>deposited</t>
        </is>
      </c>
      <c r="Q747" t="inlineStr"/>
      <c r="R747" t="inlineStr"/>
      <c r="S747">
        <f>HYPERLINK("https://helical-indexing-hi3d.streamlit.app/?emd_id=emd-27820&amp;rise=9.9&amp;twist=33.6&amp;csym=5&amp;rise2=9.9&amp;twist2=33.6&amp;csym2=5", "Link")</f>
        <v/>
      </c>
    </row>
    <row r="748">
      <c r="A748" t="inlineStr">
        <is>
          <t>EMD-13538</t>
        </is>
      </c>
      <c r="B748" t="inlineStr">
        <is>
          <t>non-amyloid</t>
        </is>
      </c>
      <c r="C748" t="n">
        <v>3.3</v>
      </c>
      <c r="D748" t="inlineStr"/>
      <c r="E748" t="inlineStr"/>
      <c r="F748" t="inlineStr"/>
      <c r="G748" t="inlineStr">
        <is>
          <t> </t>
        </is>
      </c>
      <c r="H748" t="inlineStr"/>
      <c r="I748" t="inlineStr">
        <is>
          <t>Cnan</t>
        </is>
      </c>
      <c r="J748" t="inlineStr"/>
      <c r="K748" t="inlineStr">
        <is>
          <t> </t>
        </is>
      </c>
      <c r="L748" t="inlineStr"/>
      <c r="M748" t="inlineStr"/>
      <c r="N748" t="inlineStr">
        <is>
          <t>No</t>
        </is>
      </c>
      <c r="O748" t="inlineStr"/>
      <c r="P748" t="inlineStr">
        <is>
          <t>single unit</t>
        </is>
      </c>
      <c r="Q748" t="inlineStr"/>
      <c r="R748" t="inlineStr"/>
      <c r="S748" t="inlineStr"/>
    </row>
    <row r="749">
      <c r="A749" t="inlineStr">
        <is>
          <t>EMD-13535</t>
        </is>
      </c>
      <c r="B749" t="inlineStr">
        <is>
          <t>non-amyloid</t>
        </is>
      </c>
      <c r="C749" t="n">
        <v>3.3</v>
      </c>
      <c r="D749" t="inlineStr"/>
      <c r="E749" t="inlineStr"/>
      <c r="F749" t="inlineStr"/>
      <c r="G749" t="inlineStr">
        <is>
          <t> </t>
        </is>
      </c>
      <c r="H749" t="inlineStr"/>
      <c r="I749" t="inlineStr">
        <is>
          <t>Cnan</t>
        </is>
      </c>
      <c r="J749" t="inlineStr"/>
      <c r="K749" t="inlineStr">
        <is>
          <t> </t>
        </is>
      </c>
      <c r="L749" t="inlineStr"/>
      <c r="M749" t="inlineStr"/>
      <c r="N749" t="inlineStr">
        <is>
          <t>No</t>
        </is>
      </c>
      <c r="O749" t="inlineStr"/>
      <c r="P749" t="inlineStr">
        <is>
          <t>single unit</t>
        </is>
      </c>
      <c r="Q749" t="inlineStr"/>
      <c r="R749" t="inlineStr"/>
      <c r="S749" t="inlineStr"/>
    </row>
    <row r="750">
      <c r="A750" t="inlineStr">
        <is>
          <t>EMD-14630</t>
        </is>
      </c>
      <c r="B750" t="inlineStr">
        <is>
          <t>non-amyloid</t>
        </is>
      </c>
      <c r="C750" t="n">
        <v>3.3</v>
      </c>
      <c r="D750" t="n">
        <v>2.742</v>
      </c>
      <c r="E750" t="n">
        <v>54.374</v>
      </c>
      <c r="F750" t="inlineStr">
        <is>
          <t>C2</t>
        </is>
      </c>
      <c r="G750" t="inlineStr">
        <is>
          <t>2.742</t>
        </is>
      </c>
      <c r="H750" t="n">
        <v>54.374</v>
      </c>
      <c r="I750" t="inlineStr">
        <is>
          <t>C2</t>
        </is>
      </c>
      <c r="J750" t="n">
        <v>0</v>
      </c>
      <c r="K750" t="inlineStr"/>
      <c r="L750" t="n">
        <v>0.860233897</v>
      </c>
      <c r="M750" t="n">
        <v>0.860233897</v>
      </c>
      <c r="N750" t="inlineStr">
        <is>
          <t>Yes</t>
        </is>
      </c>
      <c r="O750" t="inlineStr">
        <is>
          <t>equal</t>
        </is>
      </c>
      <c r="P750" t="inlineStr">
        <is>
          <t>deposited</t>
        </is>
      </c>
      <c r="Q750" t="inlineStr"/>
      <c r="R750" t="inlineStr"/>
      <c r="S750">
        <f>HYPERLINK("https://helical-indexing-hi3d.streamlit.app/?emd_id=emd-14630&amp;rise=2.742&amp;twist=54.374&amp;csym=2&amp;rise2=2.742&amp;twist2=54.374&amp;csym2=2", "Link")</f>
        <v/>
      </c>
    </row>
    <row r="751">
      <c r="A751" t="inlineStr">
        <is>
          <t>EMD-13532</t>
        </is>
      </c>
      <c r="B751" t="inlineStr">
        <is>
          <t>non-amyloid</t>
        </is>
      </c>
      <c r="C751" t="n">
        <v>3.3</v>
      </c>
      <c r="D751" t="inlineStr"/>
      <c r="E751" t="inlineStr"/>
      <c r="F751" t="inlineStr"/>
      <c r="G751" t="inlineStr">
        <is>
          <t> </t>
        </is>
      </c>
      <c r="H751" t="inlineStr"/>
      <c r="I751" t="inlineStr">
        <is>
          <t>Cnan</t>
        </is>
      </c>
      <c r="J751" t="inlineStr"/>
      <c r="K751" t="inlineStr">
        <is>
          <t> </t>
        </is>
      </c>
      <c r="L751" t="inlineStr"/>
      <c r="M751" t="inlineStr"/>
      <c r="N751" t="inlineStr">
        <is>
          <t>No</t>
        </is>
      </c>
      <c r="O751" t="inlineStr"/>
      <c r="P751" t="inlineStr">
        <is>
          <t>single unit</t>
        </is>
      </c>
      <c r="Q751" t="inlineStr"/>
      <c r="R751" t="inlineStr"/>
      <c r="S751" t="inlineStr"/>
    </row>
    <row r="752">
      <c r="A752" t="inlineStr">
        <is>
          <t>EMD-0141</t>
        </is>
      </c>
      <c r="B752" t="inlineStr">
        <is>
          <t>non-amyloid</t>
        </is>
      </c>
      <c r="C752" t="n">
        <v>3.3</v>
      </c>
      <c r="D752" t="n">
        <v>3.9202657</v>
      </c>
      <c r="E752" t="n">
        <v>-29.171057</v>
      </c>
      <c r="F752" t="inlineStr">
        <is>
          <t>C1</t>
        </is>
      </c>
      <c r="G752" t="inlineStr">
        <is>
          <t>3.917682737</t>
        </is>
      </c>
      <c r="H752" t="n">
        <v>-29.17082791</v>
      </c>
      <c r="I752" t="inlineStr">
        <is>
          <t>C1</t>
        </is>
      </c>
      <c r="J752" t="n">
        <v>0.002588209</v>
      </c>
      <c r="K752" t="inlineStr"/>
      <c r="L752" t="n">
        <v>0.95103</v>
      </c>
      <c r="M752" t="n">
        <v>0.951071547</v>
      </c>
      <c r="N752" t="inlineStr">
        <is>
          <t>Yes</t>
        </is>
      </c>
      <c r="O752" t="inlineStr">
        <is>
          <t>improve</t>
        </is>
      </c>
      <c r="P752" t="inlineStr">
        <is>
          <t>adjusted decimals</t>
        </is>
      </c>
      <c r="Q752" t="inlineStr"/>
      <c r="R752" t="inlineStr"/>
      <c r="S752">
        <f>HYPERLINK("https://helical-indexing-hi3d.streamlit.app/?emd_id=emd-0141&amp;rise=3.917682737&amp;twist=-29.17082791&amp;csym=1&amp;rise2=3.9202657&amp;twist2=-29.171057&amp;csym2=1", "Link")</f>
        <v/>
      </c>
    </row>
    <row r="753">
      <c r="A753" t="inlineStr">
        <is>
          <t>EMD-26566</t>
        </is>
      </c>
      <c r="B753" t="inlineStr">
        <is>
          <t>non-amyloid</t>
        </is>
      </c>
      <c r="C753" t="n">
        <v>3.3</v>
      </c>
      <c r="D753" t="n">
        <v>2.078</v>
      </c>
      <c r="E753" t="n">
        <v>-12.947</v>
      </c>
      <c r="F753" t="inlineStr">
        <is>
          <t>C1</t>
        </is>
      </c>
      <c r="G753" t="inlineStr">
        <is>
          <t>2.078</t>
        </is>
      </c>
      <c r="H753" t="n">
        <v>-12.947</v>
      </c>
      <c r="I753" t="inlineStr">
        <is>
          <t>C1</t>
        </is>
      </c>
      <c r="J753" t="n">
        <v>0</v>
      </c>
      <c r="K753" t="inlineStr"/>
      <c r="L753" t="n">
        <v>0.970385188</v>
      </c>
      <c r="M753" t="n">
        <v>0.970385188</v>
      </c>
      <c r="N753" t="inlineStr">
        <is>
          <t>Yes</t>
        </is>
      </c>
      <c r="O753" t="inlineStr">
        <is>
          <t>equal</t>
        </is>
      </c>
      <c r="P753" t="inlineStr">
        <is>
          <t>deposited</t>
        </is>
      </c>
      <c r="Q753" t="inlineStr"/>
      <c r="R753" t="inlineStr"/>
      <c r="S753">
        <f>HYPERLINK("https://helical-indexing-hi3d.streamlit.app/?emd_id=emd-26566&amp;rise=2.078&amp;twist=-12.947&amp;csym=1&amp;rise2=2.078&amp;twist2=-12.947&amp;csym2=1", "Link")</f>
        <v/>
      </c>
    </row>
    <row r="754">
      <c r="A754" t="inlineStr">
        <is>
          <t>EMD-0333</t>
        </is>
      </c>
      <c r="B754" t="inlineStr">
        <is>
          <t>non-amyloid</t>
        </is>
      </c>
      <c r="C754" t="n">
        <v>3.3</v>
      </c>
      <c r="D754" t="n">
        <v>18.87</v>
      </c>
      <c r="E754" t="n">
        <v>-99.95</v>
      </c>
      <c r="F754" t="inlineStr">
        <is>
          <t>C1</t>
        </is>
      </c>
      <c r="G754" t="inlineStr">
        <is>
          <t>18.85345777</t>
        </is>
      </c>
      <c r="H754" t="n">
        <v>-99.9379093</v>
      </c>
      <c r="I754" t="inlineStr">
        <is>
          <t>C1</t>
        </is>
      </c>
      <c r="J754" t="n">
        <v>0.0170193854955558</v>
      </c>
      <c r="K754" t="inlineStr"/>
      <c r="L754" t="n">
        <v>0.864380901</v>
      </c>
      <c r="M754" t="n">
        <v>0.865223017</v>
      </c>
      <c r="N754" t="inlineStr">
        <is>
          <t>Yes</t>
        </is>
      </c>
      <c r="O754" t="inlineStr">
        <is>
          <t>improve</t>
        </is>
      </c>
      <c r="P754" t="inlineStr">
        <is>
          <t>adjusted decimals</t>
        </is>
      </c>
      <c r="Q754" t="inlineStr"/>
      <c r="R754" t="inlineStr"/>
      <c r="S754">
        <f>HYPERLINK("https://helical-indexing-hi3d.streamlit.app/?emd_id=emd-0333&amp;rise=18.85345777&amp;twist=-99.9379093&amp;csym=1&amp;rise2=18.87&amp;twist2=-99.95&amp;csym2=1", "Link")</f>
        <v/>
      </c>
    </row>
    <row r="755">
      <c r="A755" t="inlineStr">
        <is>
          <t>EMD-34152</t>
        </is>
      </c>
      <c r="B755" t="inlineStr">
        <is>
          <t>non-amyloid</t>
        </is>
      </c>
      <c r="C755" t="n">
        <v>3.31</v>
      </c>
      <c r="D755" t="n">
        <v>31.5</v>
      </c>
      <c r="E755" t="n">
        <v>118.6</v>
      </c>
      <c r="F755" t="inlineStr">
        <is>
          <t>C1</t>
        </is>
      </c>
      <c r="G755" t="inlineStr"/>
      <c r="H755" t="inlineStr"/>
      <c r="I755" t="inlineStr">
        <is>
          <t>Cnan</t>
        </is>
      </c>
      <c r="J755" t="inlineStr"/>
      <c r="K755" t="inlineStr"/>
      <c r="L755" t="n">
        <v>0.54949</v>
      </c>
      <c r="M755" t="n">
        <v>0.616220063</v>
      </c>
      <c r="N755" t="inlineStr">
        <is>
          <t>Excluded</t>
        </is>
      </c>
      <c r="O755" t="inlineStr">
        <is>
          <t>improve</t>
        </is>
      </c>
      <c r="P755" t="inlineStr">
        <is>
          <t>focus reconstruction</t>
        </is>
      </c>
      <c r="Q755" t="inlineStr"/>
      <c r="R755" t="inlineStr"/>
      <c r="S755">
        <f>HYPERLINK("https://helical-indexing-hi3d.streamlit.app/?emd_id=emd-34152&amp;rise=nan&amp;twist=nan&amp;csym=nan&amp;rise2=31.5&amp;twist2=118.6&amp;csym2=1", "Link")</f>
        <v/>
      </c>
    </row>
    <row r="756">
      <c r="A756" t="inlineStr">
        <is>
          <t>EMD-34153</t>
        </is>
      </c>
      <c r="B756" t="inlineStr">
        <is>
          <t>non-amyloid</t>
        </is>
      </c>
      <c r="C756" t="n">
        <v>3.31</v>
      </c>
      <c r="D756" t="n">
        <v>31.6</v>
      </c>
      <c r="E756" t="n">
        <v>118.3</v>
      </c>
      <c r="F756" t="inlineStr">
        <is>
          <t>C1</t>
        </is>
      </c>
      <c r="G756" t="inlineStr"/>
      <c r="H756" t="inlineStr"/>
      <c r="I756" t="inlineStr">
        <is>
          <t>Cnan</t>
        </is>
      </c>
      <c r="J756" t="inlineStr"/>
      <c r="K756" t="inlineStr"/>
      <c r="L756" t="n">
        <v>0.56064</v>
      </c>
      <c r="M756" t="n">
        <v>0.560816994</v>
      </c>
      <c r="N756" t="inlineStr">
        <is>
          <t>Excluded</t>
        </is>
      </c>
      <c r="O756" t="inlineStr">
        <is>
          <t>improve</t>
        </is>
      </c>
      <c r="P756" t="inlineStr">
        <is>
          <t>focus reconstruction</t>
        </is>
      </c>
      <c r="Q756" t="inlineStr"/>
      <c r="R756" t="inlineStr"/>
      <c r="S756">
        <f>HYPERLINK("https://helical-indexing-hi3d.streamlit.app/?emd_id=emd-34153&amp;rise=nan&amp;twist=nan&amp;csym=nan&amp;rise2=31.6&amp;twist2=118.3&amp;csym2=1", "Link")</f>
        <v/>
      </c>
    </row>
    <row r="757">
      <c r="A757" t="inlineStr">
        <is>
          <t>EMD-17627</t>
        </is>
      </c>
      <c r="B757" t="inlineStr">
        <is>
          <t>non-amyloid</t>
        </is>
      </c>
      <c r="C757" t="n">
        <v>3.32</v>
      </c>
      <c r="D757" t="n">
        <v>44.97</v>
      </c>
      <c r="E757" t="n">
        <v>18.547</v>
      </c>
      <c r="F757" t="inlineStr">
        <is>
          <t>C7</t>
        </is>
      </c>
      <c r="G757" t="inlineStr">
        <is>
          <t>44.85315299</t>
        </is>
      </c>
      <c r="H757" t="n">
        <v>-18.5960303</v>
      </c>
      <c r="I757" t="inlineStr">
        <is>
          <t>C7</t>
        </is>
      </c>
      <c r="J757" t="n">
        <v>5.929698049850147</v>
      </c>
      <c r="K757" t="inlineStr">
        <is>
          <t> </t>
        </is>
      </c>
      <c r="L757" t="n">
        <v>0.85149</v>
      </c>
      <c r="M757" t="n">
        <v>0.93020487</v>
      </c>
      <c r="N757" t="inlineStr">
        <is>
          <t>Yes</t>
        </is>
      </c>
      <c r="O757" t="inlineStr">
        <is>
          <t>improve</t>
        </is>
      </c>
      <c r="P757" t="inlineStr">
        <is>
          <t>twist sign</t>
        </is>
      </c>
      <c r="Q757" t="inlineStr"/>
      <c r="R757" t="inlineStr"/>
      <c r="S757">
        <f>HYPERLINK("https://helical-indexing-hi3d.streamlit.app/?emd_id=emd-17627&amp;rise=44.85315299&amp;twist=-18.5960303&amp;csym=7&amp;rise2=44.97&amp;twist2=18.547&amp;csym2=7", "Link")</f>
        <v/>
      </c>
    </row>
    <row r="758">
      <c r="A758" t="inlineStr">
        <is>
          <t>EMD-30311</t>
        </is>
      </c>
      <c r="B758" t="inlineStr">
        <is>
          <t>non-amyloid</t>
        </is>
      </c>
      <c r="C758" t="n">
        <v>3.33</v>
      </c>
      <c r="D758" t="n">
        <v>15.71</v>
      </c>
      <c r="E758" t="n">
        <v>55.48</v>
      </c>
      <c r="F758" t="inlineStr">
        <is>
          <t>C1</t>
        </is>
      </c>
      <c r="G758" t="inlineStr"/>
      <c r="H758" t="inlineStr"/>
      <c r="I758" t="inlineStr">
        <is>
          <t>C1</t>
        </is>
      </c>
      <c r="J758" t="inlineStr"/>
      <c r="K758" t="inlineStr"/>
      <c r="L758" t="n">
        <v>0.59638482</v>
      </c>
      <c r="M758" t="n">
        <v>0.617126382</v>
      </c>
      <c r="N758" t="inlineStr">
        <is>
          <t>Excluded</t>
        </is>
      </c>
      <c r="O758" t="inlineStr">
        <is>
          <t>improve</t>
        </is>
      </c>
      <c r="P758" t="inlineStr">
        <is>
          <t>focus reconstruction</t>
        </is>
      </c>
      <c r="Q758" t="inlineStr"/>
      <c r="R758" t="inlineStr"/>
      <c r="S758">
        <f>HYPERLINK("https://helical-indexing-hi3d.streamlit.app/?emd_id=emd-30311&amp;rise=nan&amp;twist=nan&amp;csym=1&amp;rise2=15.71&amp;twist2=55.48&amp;csym2=1", "Link")</f>
        <v/>
      </c>
    </row>
    <row r="759">
      <c r="A759" t="inlineStr">
        <is>
          <t>EMD-17046</t>
        </is>
      </c>
      <c r="B759" t="inlineStr">
        <is>
          <t>non-amyloid</t>
        </is>
      </c>
      <c r="C759" t="n">
        <v>3.34</v>
      </c>
      <c r="D759" t="n">
        <v>43.244</v>
      </c>
      <c r="E759" t="n">
        <v>13.783</v>
      </c>
      <c r="F759" t="inlineStr">
        <is>
          <t>C8</t>
        </is>
      </c>
      <c r="G759" t="inlineStr">
        <is>
          <t>43.24159938</t>
        </is>
      </c>
      <c r="H759" t="n">
        <v>13.78182614</v>
      </c>
      <c r="I759" t="inlineStr">
        <is>
          <t>C8</t>
        </is>
      </c>
      <c r="J759" t="n">
        <v>0.002459664</v>
      </c>
      <c r="K759" t="inlineStr"/>
      <c r="L759" t="n">
        <v>0.98958</v>
      </c>
      <c r="M759" t="n">
        <v>0.989602377</v>
      </c>
      <c r="N759" t="inlineStr">
        <is>
          <t>Yes</t>
        </is>
      </c>
      <c r="O759" t="inlineStr">
        <is>
          <t>improve</t>
        </is>
      </c>
      <c r="P759" t="inlineStr">
        <is>
          <t>adjusted decimals</t>
        </is>
      </c>
      <c r="Q759" t="inlineStr"/>
      <c r="R759" t="inlineStr"/>
      <c r="S759">
        <f>HYPERLINK("https://helical-indexing-hi3d.streamlit.app/?emd_id=emd-17046&amp;rise=43.24159938&amp;twist=13.78182614&amp;csym=8&amp;rise2=43.244&amp;twist2=13.783&amp;csym2=8", "Link")</f>
        <v/>
      </c>
    </row>
    <row r="760">
      <c r="A760" t="inlineStr">
        <is>
          <t>EMD-40200</t>
        </is>
      </c>
      <c r="B760" t="inlineStr">
        <is>
          <t>non-amyloid</t>
        </is>
      </c>
      <c r="C760" t="n">
        <v>3.34</v>
      </c>
      <c r="D760" t="n">
        <v>12.933</v>
      </c>
      <c r="E760" t="n">
        <v>37.439</v>
      </c>
      <c r="F760" t="inlineStr">
        <is>
          <t>C1</t>
        </is>
      </c>
      <c r="G760" t="inlineStr"/>
      <c r="H760" t="inlineStr"/>
      <c r="I760" t="inlineStr">
        <is>
          <t>C1</t>
        </is>
      </c>
      <c r="J760" t="inlineStr"/>
      <c r="K760" t="inlineStr"/>
      <c r="L760" t="n">
        <v>0.504590086</v>
      </c>
      <c r="M760" t="inlineStr"/>
      <c r="N760" t="inlineStr">
        <is>
          <t>Excluded</t>
        </is>
      </c>
      <c r="O760" t="inlineStr">
        <is>
          <t>worse</t>
        </is>
      </c>
      <c r="P760" t="inlineStr">
        <is>
          <t>partial map</t>
        </is>
      </c>
      <c r="Q760" t="inlineStr"/>
      <c r="R760" t="inlineStr"/>
      <c r="S760">
        <f>HYPERLINK("https://helical-indexing-hi3d.streamlit.app/?emd_id=emd-40200&amp;rise=nan&amp;twist=nan&amp;csym=1&amp;rise2=12.933&amp;twist2=37.439&amp;csym2=1", "Link")</f>
        <v/>
      </c>
    </row>
    <row r="761">
      <c r="A761" t="inlineStr">
        <is>
          <t>EMD-2842</t>
        </is>
      </c>
      <c r="B761" t="inlineStr">
        <is>
          <t>non-amyloid</t>
        </is>
      </c>
      <c r="C761" t="n">
        <v>3.35</v>
      </c>
      <c r="D761" t="n">
        <v>1.408</v>
      </c>
      <c r="E761" t="n">
        <v>22.03</v>
      </c>
      <c r="F761" t="inlineStr">
        <is>
          <t>C1</t>
        </is>
      </c>
      <c r="G761" t="inlineStr">
        <is>
          <t>1.408</t>
        </is>
      </c>
      <c r="H761" t="n">
        <v>22.03</v>
      </c>
      <c r="I761" t="inlineStr">
        <is>
          <t>C1</t>
        </is>
      </c>
      <c r="J761" t="n">
        <v>0</v>
      </c>
      <c r="K761" t="inlineStr"/>
      <c r="L761" t="n">
        <v>0.99518</v>
      </c>
      <c r="M761" t="n">
        <v>0.99518</v>
      </c>
      <c r="N761" t="inlineStr">
        <is>
          <t>Yes</t>
        </is>
      </c>
      <c r="O761" t="inlineStr">
        <is>
          <t>equal</t>
        </is>
      </c>
      <c r="P761" t="inlineStr">
        <is>
          <t>deposited</t>
        </is>
      </c>
      <c r="Q761" t="inlineStr"/>
      <c r="R761" t="inlineStr"/>
      <c r="S761">
        <f>HYPERLINK("https://helical-indexing-hi3d.streamlit.app/?emd_id=emd-2842&amp;rise=1.408&amp;twist=22.03&amp;csym=1&amp;rise2=1.408&amp;twist2=22.03&amp;csym2=1", "Link")</f>
        <v/>
      </c>
    </row>
    <row r="762">
      <c r="A762" t="inlineStr">
        <is>
          <t>EMD-10553</t>
        </is>
      </c>
      <c r="B762" t="inlineStr">
        <is>
          <t>non-amyloid</t>
        </is>
      </c>
      <c r="C762" t="n">
        <v>3.35</v>
      </c>
      <c r="D762" t="n">
        <v>62.5</v>
      </c>
      <c r="E762" t="n">
        <v>180</v>
      </c>
      <c r="F762" t="inlineStr">
        <is>
          <t>C1</t>
        </is>
      </c>
      <c r="G762" t="inlineStr">
        <is>
          <t>62.5</t>
        </is>
      </c>
      <c r="H762" t="n">
        <v>180</v>
      </c>
      <c r="I762" t="inlineStr">
        <is>
          <t>C1</t>
        </is>
      </c>
      <c r="J762" t="n">
        <v>0</v>
      </c>
      <c r="K762" t="inlineStr">
        <is>
          <t>z -&gt; x</t>
        </is>
      </c>
      <c r="L762" t="n">
        <v>0.84235</v>
      </c>
      <c r="M762" t="n">
        <v>0.84235</v>
      </c>
      <c r="N762" t="inlineStr">
        <is>
          <t>Yes</t>
        </is>
      </c>
      <c r="O762" t="inlineStr">
        <is>
          <t>equal</t>
        </is>
      </c>
      <c r="P762" t="inlineStr">
        <is>
          <t>deposited</t>
        </is>
      </c>
      <c r="Q762" t="inlineStr"/>
      <c r="R762" t="inlineStr"/>
      <c r="S762">
        <f>HYPERLINK("https://helical-indexing-hi3d.streamlit.app/?emd_id=emd-10553&amp;rise=62.5&amp;twist=180.0&amp;csym=1&amp;rise2=62.5&amp;twist2=180.0&amp;csym2=1", "Link")</f>
        <v/>
      </c>
    </row>
    <row r="763">
      <c r="A763" t="inlineStr">
        <is>
          <t>EMD-26805</t>
        </is>
      </c>
      <c r="B763" t="inlineStr">
        <is>
          <t>non-amyloid</t>
        </is>
      </c>
      <c r="C763" t="n">
        <v>3.36</v>
      </c>
      <c r="D763" t="n">
        <v>27</v>
      </c>
      <c r="E763" t="n">
        <v>-167</v>
      </c>
      <c r="F763" t="inlineStr">
        <is>
          <t>C1</t>
        </is>
      </c>
      <c r="G763" t="inlineStr">
        <is>
          <t>27.69560079</t>
        </is>
      </c>
      <c r="H763" t="n">
        <v>-166.9457822</v>
      </c>
      <c r="I763" t="inlineStr">
        <is>
          <t>C1</t>
        </is>
      </c>
      <c r="J763" t="n">
        <v>0.6956768016095886</v>
      </c>
      <c r="K763" t="inlineStr"/>
      <c r="L763" t="n">
        <v>0.38189</v>
      </c>
      <c r="M763" t="n">
        <v>0.8226711330000001</v>
      </c>
      <c r="N763" t="inlineStr">
        <is>
          <t>Yes</t>
        </is>
      </c>
      <c r="O763" t="inlineStr">
        <is>
          <t>improve</t>
        </is>
      </c>
      <c r="P763" t="inlineStr">
        <is>
          <t>adjusted decimals</t>
        </is>
      </c>
      <c r="Q763" t="inlineStr"/>
      <c r="R763" t="inlineStr"/>
      <c r="S763">
        <f>HYPERLINK("https://helical-indexing-hi3d.streamlit.app/?emd_id=emd-26805&amp;rise=27.69560079&amp;twist=-166.9457822&amp;csym=1&amp;rise2=27.0&amp;twist2=-167.0&amp;csym2=1", "Link")</f>
        <v/>
      </c>
    </row>
    <row r="764">
      <c r="A764" t="inlineStr">
        <is>
          <t>EMD-30309</t>
        </is>
      </c>
      <c r="B764" t="inlineStr">
        <is>
          <t>non-amyloid</t>
        </is>
      </c>
      <c r="C764" t="n">
        <v>3.36</v>
      </c>
      <c r="D764" t="n">
        <v>15.72</v>
      </c>
      <c r="E764" t="n">
        <v>55.49</v>
      </c>
      <c r="F764" t="inlineStr">
        <is>
          <t>C1</t>
        </is>
      </c>
      <c r="G764" t="inlineStr"/>
      <c r="H764" t="inlineStr"/>
      <c r="I764" t="inlineStr">
        <is>
          <t>C1</t>
        </is>
      </c>
      <c r="J764" t="inlineStr"/>
      <c r="K764" t="inlineStr"/>
      <c r="L764" t="n">
        <v>0.525056595</v>
      </c>
      <c r="M764" t="n">
        <v>0.525426617</v>
      </c>
      <c r="N764" t="inlineStr">
        <is>
          <t>Excluded</t>
        </is>
      </c>
      <c r="O764" t="inlineStr">
        <is>
          <t>improve</t>
        </is>
      </c>
      <c r="P764" t="inlineStr">
        <is>
          <t>focus reconstruction</t>
        </is>
      </c>
      <c r="Q764" t="inlineStr"/>
      <c r="R764" t="inlineStr"/>
      <c r="S764">
        <f>HYPERLINK("https://helical-indexing-hi3d.streamlit.app/?emd_id=emd-30309&amp;rise=nan&amp;twist=nan&amp;csym=1&amp;rise2=15.72&amp;twist2=55.49&amp;csym2=1", "Link")</f>
        <v/>
      </c>
    </row>
    <row r="765">
      <c r="A765" t="inlineStr">
        <is>
          <t>EMD-27548</t>
        </is>
      </c>
      <c r="B765" t="inlineStr">
        <is>
          <t>non-amyloid</t>
        </is>
      </c>
      <c r="C765" t="n">
        <v>3.37</v>
      </c>
      <c r="D765" t="n">
        <v>28</v>
      </c>
      <c r="E765" t="n">
        <v>-166</v>
      </c>
      <c r="F765" t="inlineStr">
        <is>
          <t>C1</t>
        </is>
      </c>
      <c r="G765" t="inlineStr">
        <is>
          <t>28.56957987</t>
        </is>
      </c>
      <c r="H765" t="n">
        <v>-166.6093559</v>
      </c>
      <c r="I765" t="inlineStr">
        <is>
          <t>C1</t>
        </is>
      </c>
      <c r="J765" t="n">
        <v>0.606233273</v>
      </c>
      <c r="K765" t="inlineStr"/>
      <c r="L765" t="n">
        <v>0.59663</v>
      </c>
      <c r="M765" t="n">
        <v>0.864583008</v>
      </c>
      <c r="N765" t="inlineStr">
        <is>
          <t>Yes</t>
        </is>
      </c>
      <c r="O765" t="inlineStr">
        <is>
          <t>improve</t>
        </is>
      </c>
      <c r="P765" t="inlineStr">
        <is>
          <t>adjusted decimals</t>
        </is>
      </c>
      <c r="Q765" t="inlineStr"/>
      <c r="R765" t="inlineStr"/>
      <c r="S765">
        <f>HYPERLINK("https://helical-indexing-hi3d.streamlit.app/?emd_id=emd-27548&amp;rise=28.56957987&amp;twist=-166.6093559&amp;csym=1&amp;rise2=28.0&amp;twist2=-166.0&amp;csym2=1", "Link")</f>
        <v/>
      </c>
    </row>
    <row r="766">
      <c r="A766" t="inlineStr">
        <is>
          <t>EMD-32121</t>
        </is>
      </c>
      <c r="B766" t="inlineStr">
        <is>
          <t>non-amyloid</t>
        </is>
      </c>
      <c r="C766" t="n">
        <v>3.4</v>
      </c>
      <c r="D766" t="n">
        <v>16.56</v>
      </c>
      <c r="E766" t="n">
        <v>159.2</v>
      </c>
      <c r="F766" t="inlineStr">
        <is>
          <t>C1</t>
        </is>
      </c>
      <c r="G766" t="inlineStr">
        <is>
          <t>16.4151306</t>
        </is>
      </c>
      <c r="H766" t="n">
        <v>159.1481435</v>
      </c>
      <c r="I766" t="inlineStr">
        <is>
          <t>C1</t>
        </is>
      </c>
      <c r="J766" t="n">
        <v>0.145659167363496</v>
      </c>
      <c r="K766" t="inlineStr"/>
      <c r="L766" t="n">
        <v>0.79528</v>
      </c>
      <c r="M766" t="n">
        <v>0.807118526</v>
      </c>
      <c r="N766" t="inlineStr">
        <is>
          <t>Yes</t>
        </is>
      </c>
      <c r="O766" t="inlineStr">
        <is>
          <t>improve</t>
        </is>
      </c>
      <c r="P766" t="inlineStr">
        <is>
          <t>adjusted decimals</t>
        </is>
      </c>
      <c r="Q766" t="inlineStr"/>
      <c r="R766" t="inlineStr"/>
      <c r="S766">
        <f>HYPERLINK("https://helical-indexing-hi3d.streamlit.app/?emd_id=emd-32121&amp;rise=16.4151306&amp;twist=159.1481435&amp;csym=1&amp;rise2=16.56&amp;twist2=159.2&amp;csym2=1", "Link")</f>
        <v/>
      </c>
    </row>
    <row r="767">
      <c r="A767" t="inlineStr">
        <is>
          <t>EMD-21937</t>
        </is>
      </c>
      <c r="B767" t="inlineStr">
        <is>
          <t>microtubule</t>
        </is>
      </c>
      <c r="C767" t="n">
        <v>3.4</v>
      </c>
      <c r="D767" t="n">
        <v>5.46</v>
      </c>
      <c r="E767" t="n">
        <v>168.09</v>
      </c>
      <c r="F767" t="inlineStr">
        <is>
          <t>C1</t>
        </is>
      </c>
      <c r="G767" t="inlineStr"/>
      <c r="H767" t="inlineStr"/>
      <c r="I767" t="inlineStr">
        <is>
          <t>C1</t>
        </is>
      </c>
      <c r="J767" t="inlineStr"/>
      <c r="K767" t="inlineStr"/>
      <c r="L767" t="n">
        <v>0.250912892</v>
      </c>
      <c r="M767" t="n">
        <v>0.267738599</v>
      </c>
      <c r="N767" t="inlineStr">
        <is>
          <t>Excluded</t>
        </is>
      </c>
      <c r="O767" t="inlineStr">
        <is>
          <t>improve</t>
        </is>
      </c>
      <c r="P767" t="inlineStr">
        <is>
          <t>partial map</t>
        </is>
      </c>
      <c r="Q767" t="inlineStr"/>
      <c r="R767" t="inlineStr"/>
      <c r="S767">
        <f>HYPERLINK("https://helical-indexing-hi3d.streamlit.app/?emd_id=emd-21937&amp;rise=nan&amp;twist=nan&amp;csym=1&amp;rise2=5.46&amp;twist2=168.09&amp;csym2=1", "Link")</f>
        <v/>
      </c>
    </row>
    <row r="768">
      <c r="A768" t="inlineStr">
        <is>
          <t>EMD-13536</t>
        </is>
      </c>
      <c r="B768" t="inlineStr">
        <is>
          <t>non-amyloid</t>
        </is>
      </c>
      <c r="C768" t="n">
        <v>3.4</v>
      </c>
      <c r="D768" t="inlineStr"/>
      <c r="E768" t="inlineStr"/>
      <c r="F768" t="inlineStr"/>
      <c r="G768" t="inlineStr">
        <is>
          <t> </t>
        </is>
      </c>
      <c r="H768" t="inlineStr"/>
      <c r="I768" t="inlineStr">
        <is>
          <t>Cnan</t>
        </is>
      </c>
      <c r="J768" t="inlineStr"/>
      <c r="K768" t="inlineStr">
        <is>
          <t> </t>
        </is>
      </c>
      <c r="L768" t="inlineStr"/>
      <c r="M768" t="inlineStr"/>
      <c r="N768" t="inlineStr">
        <is>
          <t>No</t>
        </is>
      </c>
      <c r="O768" t="inlineStr"/>
      <c r="P768" t="inlineStr">
        <is>
          <t>single unit</t>
        </is>
      </c>
      <c r="Q768" t="inlineStr"/>
      <c r="R768" t="inlineStr"/>
      <c r="S768" t="inlineStr"/>
    </row>
    <row r="769">
      <c r="A769" t="inlineStr">
        <is>
          <t>EMD-13533</t>
        </is>
      </c>
      <c r="B769" t="inlineStr">
        <is>
          <t>non-amyloid</t>
        </is>
      </c>
      <c r="C769" t="n">
        <v>3.4</v>
      </c>
      <c r="D769" t="inlineStr"/>
      <c r="E769" t="inlineStr"/>
      <c r="F769" t="inlineStr"/>
      <c r="G769" t="inlineStr">
        <is>
          <t> </t>
        </is>
      </c>
      <c r="H769" t="inlineStr"/>
      <c r="I769" t="inlineStr">
        <is>
          <t>Cnan</t>
        </is>
      </c>
      <c r="J769" t="inlineStr"/>
      <c r="K769" t="inlineStr">
        <is>
          <t> </t>
        </is>
      </c>
      <c r="L769" t="inlineStr"/>
      <c r="M769" t="inlineStr"/>
      <c r="N769" t="inlineStr">
        <is>
          <t>No</t>
        </is>
      </c>
      <c r="O769" t="inlineStr"/>
      <c r="P769" t="inlineStr">
        <is>
          <t>single unit</t>
        </is>
      </c>
      <c r="Q769" t="inlineStr"/>
      <c r="R769" t="inlineStr"/>
      <c r="S769" t="inlineStr"/>
    </row>
    <row r="770">
      <c r="A770" t="inlineStr">
        <is>
          <t>EMD-13580</t>
        </is>
      </c>
      <c r="B770" t="inlineStr">
        <is>
          <t>non-amyloid</t>
        </is>
      </c>
      <c r="C770" t="n">
        <v>3.4</v>
      </c>
      <c r="D770" t="n">
        <v>69.5</v>
      </c>
      <c r="E770" t="n">
        <v>83.2</v>
      </c>
      <c r="F770" t="inlineStr">
        <is>
          <t>D2</t>
        </is>
      </c>
      <c r="G770" t="inlineStr"/>
      <c r="H770" t="inlineStr"/>
      <c r="I770" t="inlineStr">
        <is>
          <t>Cnan</t>
        </is>
      </c>
      <c r="J770" t="inlineStr"/>
      <c r="K770" t="inlineStr"/>
      <c r="L770" t="n">
        <v>0.6462633800000001</v>
      </c>
      <c r="M770" t="n">
        <v>0.644047798</v>
      </c>
      <c r="N770" t="inlineStr">
        <is>
          <t>Excluded</t>
        </is>
      </c>
      <c r="O770" t="inlineStr">
        <is>
          <t>worse</t>
        </is>
      </c>
      <c r="P770" t="inlineStr">
        <is>
          <t>focus reconstruction</t>
        </is>
      </c>
      <c r="Q770" t="inlineStr"/>
      <c r="R770" t="inlineStr"/>
      <c r="S770">
        <f>HYPERLINK("https://helical-indexing-hi3d.streamlit.app/?emd_id=emd-13580&amp;rise=nan&amp;twist=nan&amp;csym=nan&amp;rise2=69.5&amp;twist2=83.2&amp;csym2=2", "Link")</f>
        <v/>
      </c>
    </row>
    <row r="771">
      <c r="A771" t="inlineStr">
        <is>
          <t>EMD-23485</t>
        </is>
      </c>
      <c r="B771" t="inlineStr">
        <is>
          <t>non-amyloid</t>
        </is>
      </c>
      <c r="C771" t="n">
        <v>3.4</v>
      </c>
      <c r="D771" t="n">
        <v>7.93</v>
      </c>
      <c r="E771" t="n">
        <v>-15.8</v>
      </c>
      <c r="F771" t="inlineStr">
        <is>
          <t>C2</t>
        </is>
      </c>
      <c r="G771" t="inlineStr">
        <is>
          <t>7.93</t>
        </is>
      </c>
      <c r="H771" t="n">
        <v>-15.8</v>
      </c>
      <c r="I771" t="inlineStr">
        <is>
          <t>C2</t>
        </is>
      </c>
      <c r="J771" t="n">
        <v>0</v>
      </c>
      <c r="K771" t="inlineStr"/>
      <c r="L771" t="n">
        <v>0.98871</v>
      </c>
      <c r="M771" t="n">
        <v>0.98871</v>
      </c>
      <c r="N771" t="inlineStr">
        <is>
          <t>Yes</t>
        </is>
      </c>
      <c r="O771" t="inlineStr">
        <is>
          <t>equal</t>
        </is>
      </c>
      <c r="P771" t="inlineStr">
        <is>
          <t>deposited</t>
        </is>
      </c>
      <c r="Q771" t="inlineStr"/>
      <c r="R771" t="inlineStr"/>
      <c r="S771">
        <f>HYPERLINK("https://helical-indexing-hi3d.streamlit.app/?emd_id=emd-23485&amp;rise=7.93&amp;twist=-15.8&amp;csym=2&amp;rise2=7.93&amp;twist2=-15.8&amp;csym2=2", "Link")</f>
        <v/>
      </c>
    </row>
    <row r="772">
      <c r="A772" t="inlineStr">
        <is>
          <t>EMD-13531</t>
        </is>
      </c>
      <c r="B772" t="inlineStr">
        <is>
          <t>non-amyloid</t>
        </is>
      </c>
      <c r="C772" t="n">
        <v>3.4</v>
      </c>
      <c r="D772" t="inlineStr"/>
      <c r="E772" t="inlineStr"/>
      <c r="F772" t="inlineStr"/>
      <c r="G772" t="inlineStr">
        <is>
          <t> </t>
        </is>
      </c>
      <c r="H772" t="inlineStr"/>
      <c r="I772" t="inlineStr">
        <is>
          <t>Cnan</t>
        </is>
      </c>
      <c r="J772" t="inlineStr"/>
      <c r="K772" t="inlineStr">
        <is>
          <t> </t>
        </is>
      </c>
      <c r="L772" t="inlineStr"/>
      <c r="M772" t="inlineStr"/>
      <c r="N772" t="inlineStr">
        <is>
          <t>No</t>
        </is>
      </c>
      <c r="O772" t="inlineStr"/>
      <c r="P772" t="inlineStr">
        <is>
          <t>single unit</t>
        </is>
      </c>
      <c r="Q772" t="inlineStr"/>
      <c r="R772" t="inlineStr"/>
      <c r="S772" t="inlineStr"/>
    </row>
    <row r="773">
      <c r="A773" t="inlineStr">
        <is>
          <t>EMD-25158</t>
        </is>
      </c>
      <c r="B773" t="inlineStr">
        <is>
          <t>microtubule</t>
        </is>
      </c>
      <c r="C773" t="n">
        <v>3.4</v>
      </c>
      <c r="D773" t="n">
        <v>83.18000000000001</v>
      </c>
      <c r="E773" t="n">
        <v>-0.22</v>
      </c>
      <c r="F773" t="inlineStr">
        <is>
          <t>C1</t>
        </is>
      </c>
      <c r="G773" t="inlineStr">
        <is>
          <t>83.18</t>
        </is>
      </c>
      <c r="H773" t="n">
        <v>-0.22</v>
      </c>
      <c r="I773" t="inlineStr">
        <is>
          <t>C1</t>
        </is>
      </c>
      <c r="J773" t="n">
        <v>0</v>
      </c>
      <c r="K773" t="inlineStr"/>
      <c r="L773" t="n">
        <v>0.913864146</v>
      </c>
      <c r="M773" t="n">
        <v>0.913864146</v>
      </c>
      <c r="N773" t="inlineStr">
        <is>
          <t>Yes</t>
        </is>
      </c>
      <c r="O773" t="inlineStr">
        <is>
          <t>equal</t>
        </is>
      </c>
      <c r="P773" t="inlineStr">
        <is>
          <t>deposited</t>
        </is>
      </c>
      <c r="Q773" t="inlineStr"/>
      <c r="R773" t="inlineStr"/>
      <c r="S773">
        <f>HYPERLINK("https://helical-indexing-hi3d.streamlit.app/?emd_id=emd-25158&amp;rise=83.18&amp;twist=-0.22&amp;csym=1&amp;rise2=83.18&amp;twist2=-0.22&amp;csym2=1", "Link")</f>
        <v/>
      </c>
    </row>
    <row r="774">
      <c r="A774" t="inlineStr">
        <is>
          <t>EMD-23483</t>
        </is>
      </c>
      <c r="B774" t="inlineStr">
        <is>
          <t>non-amyloid</t>
        </is>
      </c>
      <c r="C774" t="n">
        <v>3.4</v>
      </c>
      <c r="D774" t="n">
        <v>7.93</v>
      </c>
      <c r="E774" t="n">
        <v>-15.8</v>
      </c>
      <c r="F774" t="inlineStr">
        <is>
          <t>C1</t>
        </is>
      </c>
      <c r="G774" t="inlineStr">
        <is>
          <t>7.93</t>
        </is>
      </c>
      <c r="H774" t="n">
        <v>-15.8</v>
      </c>
      <c r="I774" t="inlineStr">
        <is>
          <t>C1</t>
        </is>
      </c>
      <c r="J774" t="n">
        <v>0</v>
      </c>
      <c r="K774" t="inlineStr"/>
      <c r="L774" t="n">
        <v>0.9870100000000001</v>
      </c>
      <c r="M774" t="n">
        <v>0.9870100000000001</v>
      </c>
      <c r="N774" t="inlineStr">
        <is>
          <t>Yes</t>
        </is>
      </c>
      <c r="O774" t="inlineStr">
        <is>
          <t>equal</t>
        </is>
      </c>
      <c r="P774" t="inlineStr">
        <is>
          <t>deposited</t>
        </is>
      </c>
      <c r="Q774" t="inlineStr"/>
      <c r="R774" t="inlineStr"/>
      <c r="S774">
        <f>HYPERLINK("https://helical-indexing-hi3d.streamlit.app/?emd_id=emd-23483&amp;rise=7.93&amp;twist=-15.8&amp;csym=1&amp;rise2=7.93&amp;twist2=-15.8&amp;csym2=1", "Link")</f>
        <v/>
      </c>
    </row>
    <row r="775">
      <c r="A775" t="inlineStr">
        <is>
          <t>EMD-24725</t>
        </is>
      </c>
      <c r="B775" t="inlineStr">
        <is>
          <t>non-amyloid</t>
        </is>
      </c>
      <c r="C775" t="n">
        <v>3.4</v>
      </c>
      <c r="D775" t="n">
        <v>4.112</v>
      </c>
      <c r="E775" t="n">
        <v>-83.40900000000001</v>
      </c>
      <c r="F775" t="inlineStr">
        <is>
          <t>C2</t>
        </is>
      </c>
      <c r="G775" t="inlineStr">
        <is>
          <t>4.158</t>
        </is>
      </c>
      <c r="H775" t="n">
        <v>-83.432</v>
      </c>
      <c r="I775" t="inlineStr">
        <is>
          <t>C2</t>
        </is>
      </c>
      <c r="J775" t="n">
        <v>0.0461986454920559</v>
      </c>
      <c r="K775" t="inlineStr"/>
      <c r="L775" t="n">
        <v>0.96061</v>
      </c>
      <c r="M775" t="n">
        <v>0.963063784</v>
      </c>
      <c r="N775" t="inlineStr">
        <is>
          <t>Yes</t>
        </is>
      </c>
      <c r="O775" t="inlineStr">
        <is>
          <t>improve</t>
        </is>
      </c>
      <c r="P775" t="inlineStr">
        <is>
          <t>adjusted decimals</t>
        </is>
      </c>
      <c r="Q775" t="inlineStr"/>
      <c r="R775" t="inlineStr"/>
      <c r="S775">
        <f>HYPERLINK("https://helical-indexing-hi3d.streamlit.app/?emd_id=emd-24725&amp;rise=4.158&amp;twist=-83.432&amp;csym=2&amp;rise2=4.112&amp;twist2=-83.409&amp;csym2=2", "Link")</f>
        <v/>
      </c>
    </row>
    <row r="776">
      <c r="A776" t="inlineStr">
        <is>
          <t>EMD-23486</t>
        </is>
      </c>
      <c r="B776" t="inlineStr">
        <is>
          <t>non-amyloid</t>
        </is>
      </c>
      <c r="C776" t="n">
        <v>3.4</v>
      </c>
      <c r="D776" t="n">
        <v>3.97</v>
      </c>
      <c r="E776" t="n">
        <v>172.1</v>
      </c>
      <c r="F776" t="inlineStr">
        <is>
          <t>C2</t>
        </is>
      </c>
      <c r="G776" t="inlineStr">
        <is>
          <t>3.97</t>
        </is>
      </c>
      <c r="H776" t="n">
        <v>172.1</v>
      </c>
      <c r="I776" t="inlineStr">
        <is>
          <t>C2</t>
        </is>
      </c>
      <c r="J776" t="n">
        <v>0</v>
      </c>
      <c r="K776" t="inlineStr"/>
      <c r="L776" t="n">
        <v>0.97585</v>
      </c>
      <c r="M776" t="n">
        <v>0.97585</v>
      </c>
      <c r="N776" t="inlineStr">
        <is>
          <t>Yes</t>
        </is>
      </c>
      <c r="O776" t="inlineStr">
        <is>
          <t>equal</t>
        </is>
      </c>
      <c r="P776" t="inlineStr">
        <is>
          <t>deposited</t>
        </is>
      </c>
      <c r="Q776" t="inlineStr"/>
      <c r="R776" t="inlineStr"/>
      <c r="S776">
        <f>HYPERLINK("https://helical-indexing-hi3d.streamlit.app/?emd_id=emd-23486&amp;rise=3.97&amp;twist=172.1&amp;csym=2&amp;rise2=3.97&amp;twist2=172.1&amp;csym2=2", "Link")</f>
        <v/>
      </c>
    </row>
    <row r="777">
      <c r="A777" t="inlineStr">
        <is>
          <t>EMD-11937</t>
        </is>
      </c>
      <c r="B777" t="inlineStr">
        <is>
          <t>non-amyloid</t>
        </is>
      </c>
      <c r="C777" t="n">
        <v>3.4</v>
      </c>
      <c r="D777" t="n">
        <v>44.6</v>
      </c>
      <c r="E777" t="n">
        <v>91.7</v>
      </c>
      <c r="F777" t="inlineStr">
        <is>
          <t>C1</t>
        </is>
      </c>
      <c r="G777" t="inlineStr"/>
      <c r="H777" t="inlineStr"/>
      <c r="I777" t="inlineStr">
        <is>
          <t>Cnan</t>
        </is>
      </c>
      <c r="J777" t="inlineStr"/>
      <c r="K777" t="inlineStr"/>
      <c r="L777" t="inlineStr"/>
      <c r="M777" t="inlineStr"/>
      <c r="N777" t="inlineStr">
        <is>
          <t>No</t>
        </is>
      </c>
      <c r="O777" t="inlineStr"/>
      <c r="P777" t="inlineStr">
        <is>
          <t>single unit</t>
        </is>
      </c>
      <c r="Q777" t="inlineStr"/>
      <c r="R777" t="inlineStr"/>
      <c r="S777">
        <f>HYPERLINK("https://helical-indexing-hi3d.streamlit.app/?emd_id=emd-11937&amp;rise=nan&amp;twist=nan&amp;csym=nan&amp;rise2=44.6&amp;twist2=91.7&amp;csym2=1", "Link")</f>
        <v/>
      </c>
    </row>
    <row r="778">
      <c r="A778" t="inlineStr">
        <is>
          <t>EMD-12776</t>
        </is>
      </c>
      <c r="B778" t="inlineStr">
        <is>
          <t>non-amyloid</t>
        </is>
      </c>
      <c r="C778" t="n">
        <v>3.4</v>
      </c>
      <c r="D778" t="n">
        <v>3.76</v>
      </c>
      <c r="E778" t="n">
        <v>156.5</v>
      </c>
      <c r="F778" t="inlineStr">
        <is>
          <t>C1</t>
        </is>
      </c>
      <c r="G778" t="inlineStr">
        <is>
          <t>3.76</t>
        </is>
      </c>
      <c r="H778" t="n">
        <v>156.5</v>
      </c>
      <c r="I778" t="inlineStr">
        <is>
          <t>C1</t>
        </is>
      </c>
      <c r="J778" t="n">
        <v>0</v>
      </c>
      <c r="K778" t="inlineStr"/>
      <c r="L778" t="n">
        <v>0.9275099999999999</v>
      </c>
      <c r="M778" t="n">
        <v>0.9275099999999999</v>
      </c>
      <c r="N778" t="inlineStr">
        <is>
          <t>Yes</t>
        </is>
      </c>
      <c r="O778" t="inlineStr">
        <is>
          <t>equal</t>
        </is>
      </c>
      <c r="P778" t="inlineStr">
        <is>
          <t>deposited</t>
        </is>
      </c>
      <c r="Q778" t="inlineStr"/>
      <c r="R778" t="inlineStr"/>
      <c r="S778">
        <f>HYPERLINK("https://helical-indexing-hi3d.streamlit.app/?emd_id=emd-12776&amp;rise=3.76&amp;twist=156.5&amp;csym=1&amp;rise2=3.76&amp;twist2=156.5&amp;csym2=1", "Link")</f>
        <v/>
      </c>
    </row>
    <row r="779">
      <c r="A779" t="inlineStr">
        <is>
          <t>EMD-13865</t>
        </is>
      </c>
      <c r="B779" t="inlineStr">
        <is>
          <t>non-amyloid</t>
        </is>
      </c>
      <c r="C779" t="n">
        <v>3.4</v>
      </c>
      <c r="D779" t="n">
        <v>28.56</v>
      </c>
      <c r="E779" t="n">
        <v>-161.26</v>
      </c>
      <c r="F779" t="inlineStr">
        <is>
          <t>C1</t>
        </is>
      </c>
      <c r="G779" t="inlineStr">
        <is>
          <t>28.56</t>
        </is>
      </c>
      <c r="H779" t="n">
        <v>-161.26</v>
      </c>
      <c r="I779" t="inlineStr">
        <is>
          <t>C1</t>
        </is>
      </c>
      <c r="J779" t="n">
        <v>0</v>
      </c>
      <c r="K779" t="inlineStr">
        <is>
          <t>z -&gt; x</t>
        </is>
      </c>
      <c r="L779" t="n">
        <v>0.95594</v>
      </c>
      <c r="M779" t="n">
        <v>0.95594</v>
      </c>
      <c r="N779" t="inlineStr">
        <is>
          <t>Yes</t>
        </is>
      </c>
      <c r="O779" t="inlineStr">
        <is>
          <t>equal</t>
        </is>
      </c>
      <c r="P779" t="inlineStr">
        <is>
          <t>deposited</t>
        </is>
      </c>
      <c r="Q779" t="inlineStr"/>
      <c r="R779" t="inlineStr"/>
      <c r="S779">
        <f>HYPERLINK("https://helical-indexing-hi3d.streamlit.app/?emd_id=emd-13865&amp;rise=28.56&amp;twist=-161.26&amp;csym=1&amp;rise2=28.56&amp;twist2=-161.26&amp;csym2=1", "Link")</f>
        <v/>
      </c>
    </row>
    <row r="780">
      <c r="A780" t="inlineStr">
        <is>
          <t>EMD-6347</t>
        </is>
      </c>
      <c r="B780" t="inlineStr">
        <is>
          <t>microtubule</t>
        </is>
      </c>
      <c r="C780" t="n">
        <v>3.4</v>
      </c>
      <c r="D780" t="n">
        <v>9.44</v>
      </c>
      <c r="E780" t="n">
        <v>27.72</v>
      </c>
      <c r="F780" t="inlineStr">
        <is>
          <t>C1</t>
        </is>
      </c>
      <c r="G780" t="inlineStr">
        <is>
          <t>81.52</t>
        </is>
      </c>
      <c r="H780" t="n">
        <v>-0.25</v>
      </c>
      <c r="I780" t="inlineStr">
        <is>
          <t>C1</t>
        </is>
      </c>
      <c r="J780" t="n">
        <v>72.62705158</v>
      </c>
      <c r="K780" t="inlineStr"/>
      <c r="L780" t="n">
        <v>0.388990964</v>
      </c>
      <c r="M780" t="n">
        <v>0.907420549</v>
      </c>
      <c r="N780" t="inlineStr">
        <is>
          <t>Yes</t>
        </is>
      </c>
      <c r="O780" t="inlineStr">
        <is>
          <t>improve</t>
        </is>
      </c>
      <c r="P780" t="inlineStr">
        <is>
          <t>different</t>
        </is>
      </c>
      <c r="Q780" t="inlineStr">
        <is>
          <t>wrong</t>
        </is>
      </c>
      <c r="R780" t="inlineStr"/>
      <c r="S780">
        <f>HYPERLINK("https://helical-indexing-hi3d.streamlit.app/?emd_id=emd-6347&amp;rise=81.52&amp;twist=-0.25&amp;csym=1&amp;rise2=9.44&amp;twist2=27.72&amp;csym2=1", "Link")</f>
        <v/>
      </c>
    </row>
    <row r="781">
      <c r="A781" t="inlineStr">
        <is>
          <t>EMD-28083</t>
        </is>
      </c>
      <c r="B781" t="inlineStr">
        <is>
          <t>non-amyloid</t>
        </is>
      </c>
      <c r="C781" t="n">
        <v>3.4</v>
      </c>
      <c r="D781" t="n">
        <v>27.9</v>
      </c>
      <c r="E781" t="n">
        <v>-166.4</v>
      </c>
      <c r="F781" t="inlineStr">
        <is>
          <t>C1</t>
        </is>
      </c>
      <c r="G781" t="inlineStr">
        <is>
          <t>27.9</t>
        </is>
      </c>
      <c r="H781" t="n">
        <v>-166.4</v>
      </c>
      <c r="I781" t="inlineStr">
        <is>
          <t>C1</t>
        </is>
      </c>
      <c r="J781" t="n">
        <v>0</v>
      </c>
      <c r="K781" t="inlineStr"/>
      <c r="L781" t="n">
        <v>0.905444278</v>
      </c>
      <c r="M781" t="n">
        <v>0.905444278</v>
      </c>
      <c r="N781" t="inlineStr">
        <is>
          <t>Yes</t>
        </is>
      </c>
      <c r="O781" t="inlineStr">
        <is>
          <t>equal</t>
        </is>
      </c>
      <c r="P781" t="inlineStr">
        <is>
          <t>deposited</t>
        </is>
      </c>
      <c r="Q781" t="inlineStr"/>
      <c r="R781" t="inlineStr"/>
      <c r="S781">
        <f>HYPERLINK("https://helical-indexing-hi3d.streamlit.app/?emd_id=emd-28083&amp;rise=27.9&amp;twist=-166.4&amp;csym=1&amp;rise2=27.9&amp;twist2=-166.4&amp;csym2=1", "Link")</f>
        <v/>
      </c>
    </row>
    <row r="782">
      <c r="A782" t="inlineStr">
        <is>
          <t>EMD-28152</t>
        </is>
      </c>
      <c r="B782" t="inlineStr">
        <is>
          <t>non-amyloid</t>
        </is>
      </c>
      <c r="C782" t="n">
        <v>3.4</v>
      </c>
      <c r="D782" t="n">
        <v>8.952999999999999</v>
      </c>
      <c r="E782" t="n">
        <v>111.84</v>
      </c>
      <c r="F782" t="inlineStr">
        <is>
          <t>C1</t>
        </is>
      </c>
      <c r="G782" t="inlineStr">
        <is>
          <t>8.953</t>
        </is>
      </c>
      <c r="H782" t="n">
        <v>111.84</v>
      </c>
      <c r="I782" t="inlineStr">
        <is>
          <t>C1</t>
        </is>
      </c>
      <c r="J782" t="n">
        <v>0</v>
      </c>
      <c r="K782" t="inlineStr"/>
      <c r="L782" t="n">
        <v>0.81072</v>
      </c>
      <c r="M782" t="n">
        <v>0.81072</v>
      </c>
      <c r="N782" t="inlineStr">
        <is>
          <t>Yes</t>
        </is>
      </c>
      <c r="O782" t="inlineStr">
        <is>
          <t>equal</t>
        </is>
      </c>
      <c r="P782" t="inlineStr">
        <is>
          <t>deposited</t>
        </is>
      </c>
      <c r="Q782" t="inlineStr"/>
      <c r="R782" t="inlineStr"/>
      <c r="S782">
        <f>HYPERLINK("https://helical-indexing-hi3d.streamlit.app/?emd_id=emd-28152&amp;rise=8.953&amp;twist=111.84&amp;csym=1&amp;rise2=8.953&amp;twist2=111.84&amp;csym2=1", "Link")</f>
        <v/>
      </c>
    </row>
    <row r="783">
      <c r="A783" t="inlineStr">
        <is>
          <t>EMD-8767</t>
        </is>
      </c>
      <c r="B783" t="inlineStr">
        <is>
          <t>non-amyloid</t>
        </is>
      </c>
      <c r="C783" t="n">
        <v>3.4</v>
      </c>
      <c r="D783" t="n">
        <v>40.2</v>
      </c>
      <c r="E783" t="n">
        <v>18.2</v>
      </c>
      <c r="F783" t="inlineStr">
        <is>
          <t>C6</t>
        </is>
      </c>
      <c r="G783" t="inlineStr">
        <is>
          <t>40.17263051</t>
        </is>
      </c>
      <c r="H783" t="n">
        <v>18.20215712</v>
      </c>
      <c r="I783" t="inlineStr">
        <is>
          <t>C6</t>
        </is>
      </c>
      <c r="J783" t="n">
        <v>0.0273781010726365</v>
      </c>
      <c r="K783" t="inlineStr"/>
      <c r="L783" t="n">
        <v>0.97644</v>
      </c>
      <c r="M783" t="n">
        <v>0.976550721</v>
      </c>
      <c r="N783" t="inlineStr">
        <is>
          <t>Yes</t>
        </is>
      </c>
      <c r="O783" t="inlineStr">
        <is>
          <t>improve</t>
        </is>
      </c>
      <c r="P783" t="inlineStr">
        <is>
          <t>adjusted decimals</t>
        </is>
      </c>
      <c r="Q783" t="inlineStr"/>
      <c r="R783" t="inlineStr"/>
      <c r="S783">
        <f>HYPERLINK("https://helical-indexing-hi3d.streamlit.app/?emd_id=emd-8767&amp;rise=40.17263051&amp;twist=18.20215712&amp;csym=6&amp;rise2=40.2&amp;twist2=18.2&amp;csym2=6", "Link")</f>
        <v/>
      </c>
    </row>
    <row r="784">
      <c r="A784" t="inlineStr">
        <is>
          <t>EMD-0297</t>
        </is>
      </c>
      <c r="B784" t="inlineStr">
        <is>
          <t>non-amyloid</t>
        </is>
      </c>
      <c r="C784" t="n">
        <v>3.4</v>
      </c>
      <c r="D784" t="n">
        <v>3.95</v>
      </c>
      <c r="E784" t="n">
        <v>-40.95</v>
      </c>
      <c r="F784" t="inlineStr">
        <is>
          <t>C1</t>
        </is>
      </c>
      <c r="G784" t="inlineStr">
        <is>
          <t>3.951861671</t>
        </is>
      </c>
      <c r="H784" t="n">
        <v>-40.95418205</v>
      </c>
      <c r="I784" t="inlineStr">
        <is>
          <t>C1</t>
        </is>
      </c>
      <c r="J784" t="n">
        <v>0.002922205</v>
      </c>
      <c r="K784" t="inlineStr"/>
      <c r="L784" t="n">
        <v>0.9659</v>
      </c>
      <c r="M784" t="n">
        <v>0.965900428</v>
      </c>
      <c r="N784" t="inlineStr">
        <is>
          <t>Yes</t>
        </is>
      </c>
      <c r="O784" t="inlineStr">
        <is>
          <t>improve</t>
        </is>
      </c>
      <c r="P784" t="inlineStr">
        <is>
          <t>adjusted decimals</t>
        </is>
      </c>
      <c r="Q784" t="inlineStr"/>
      <c r="R784" t="inlineStr"/>
      <c r="S784">
        <f>HYPERLINK("https://helical-indexing-hi3d.streamlit.app/?emd_id=emd-0297&amp;rise=3.951861671&amp;twist=-40.95418205&amp;csym=1&amp;rise2=3.95&amp;twist2=-40.95&amp;csym2=1", "Link")</f>
        <v/>
      </c>
    </row>
    <row r="785">
      <c r="A785" t="inlineStr">
        <is>
          <t>EMD-22384</t>
        </is>
      </c>
      <c r="B785" t="inlineStr">
        <is>
          <t>non-amyloid</t>
        </is>
      </c>
      <c r="C785" t="n">
        <v>3.4</v>
      </c>
      <c r="D785" t="n">
        <v>1.96</v>
      </c>
      <c r="E785" t="n">
        <v>17.1</v>
      </c>
      <c r="F785" t="inlineStr">
        <is>
          <t>C1</t>
        </is>
      </c>
      <c r="G785" t="inlineStr">
        <is>
          <t>1.96</t>
        </is>
      </c>
      <c r="H785" t="n">
        <v>17.09</v>
      </c>
      <c r="I785" t="inlineStr">
        <is>
          <t>C1</t>
        </is>
      </c>
      <c r="J785" t="n">
        <v>0.006023292</v>
      </c>
      <c r="K785" t="inlineStr"/>
      <c r="L785" t="n">
        <v>0.749079669</v>
      </c>
      <c r="M785" t="n">
        <v>0.865397779</v>
      </c>
      <c r="N785" t="inlineStr">
        <is>
          <t>Yes</t>
        </is>
      </c>
      <c r="O785" t="inlineStr">
        <is>
          <t>improve</t>
        </is>
      </c>
      <c r="P785" t="inlineStr">
        <is>
          <t>adjusted decimals</t>
        </is>
      </c>
      <c r="Q785" t="inlineStr"/>
      <c r="R785" t="inlineStr"/>
      <c r="S785">
        <f>HYPERLINK("https://helical-indexing-hi3d.streamlit.app/?emd_id=emd-22384&amp;rise=1.96&amp;twist=17.09&amp;csym=1&amp;rise2=1.96&amp;twist2=17.1&amp;csym2=1", "Link")</f>
        <v/>
      </c>
    </row>
    <row r="786">
      <c r="A786" t="inlineStr">
        <is>
          <t>EMD-6351</t>
        </is>
      </c>
      <c r="B786" t="inlineStr">
        <is>
          <t>microtubule</t>
        </is>
      </c>
      <c r="C786" t="n">
        <v>3.4</v>
      </c>
      <c r="D786" t="n">
        <v>9.42</v>
      </c>
      <c r="E786" t="n">
        <v>27.71</v>
      </c>
      <c r="F786" t="inlineStr">
        <is>
          <t>C1</t>
        </is>
      </c>
      <c r="G786" t="inlineStr">
        <is>
          <t>81.44</t>
        </is>
      </c>
      <c r="H786" t="n">
        <v>-0.12</v>
      </c>
      <c r="I786" t="inlineStr">
        <is>
          <t>C1</t>
        </is>
      </c>
      <c r="J786" t="n">
        <v>72.53466638987511</v>
      </c>
      <c r="K786" t="inlineStr"/>
      <c r="L786" t="n">
        <v>0.311331057</v>
      </c>
      <c r="M786" t="n">
        <v>0.7845963889999999</v>
      </c>
      <c r="N786" t="inlineStr">
        <is>
          <t>Yes</t>
        </is>
      </c>
      <c r="O786" t="inlineStr">
        <is>
          <t>improve</t>
        </is>
      </c>
      <c r="P786" t="inlineStr">
        <is>
          <t>different</t>
        </is>
      </c>
      <c r="Q786" t="inlineStr">
        <is>
          <t>wrong</t>
        </is>
      </c>
      <c r="R786" t="inlineStr"/>
      <c r="S786">
        <f>HYPERLINK("https://helical-indexing-hi3d.streamlit.app/?emd_id=emd-6351&amp;rise=81.44&amp;twist=-0.12&amp;csym=1&amp;rise2=9.42&amp;twist2=27.71&amp;csym2=1", "Link")</f>
        <v/>
      </c>
    </row>
    <row r="787">
      <c r="A787" t="inlineStr">
        <is>
          <t>EMD-0320</t>
        </is>
      </c>
      <c r="B787" t="inlineStr">
        <is>
          <t>non-amyloid</t>
        </is>
      </c>
      <c r="C787" t="n">
        <v>3.4</v>
      </c>
      <c r="D787" t="n">
        <v>17.48</v>
      </c>
      <c r="E787" t="n">
        <v>-72.98</v>
      </c>
      <c r="F787" t="inlineStr">
        <is>
          <t>C1</t>
        </is>
      </c>
      <c r="G787" t="inlineStr">
        <is>
          <t>17.46309097</t>
        </is>
      </c>
      <c r="H787" t="n">
        <v>-72.98235776</v>
      </c>
      <c r="I787" t="inlineStr">
        <is>
          <t>C1</t>
        </is>
      </c>
      <c r="J787" t="n">
        <v>0.0169835475770508</v>
      </c>
      <c r="K787" t="inlineStr"/>
      <c r="L787" t="n">
        <v>0.95697</v>
      </c>
      <c r="M787" t="n">
        <v>0.957299979</v>
      </c>
      <c r="N787" t="inlineStr">
        <is>
          <t>Yes</t>
        </is>
      </c>
      <c r="O787" t="inlineStr">
        <is>
          <t>improve</t>
        </is>
      </c>
      <c r="P787" t="inlineStr">
        <is>
          <t>adjusted decimals</t>
        </is>
      </c>
      <c r="Q787" t="inlineStr"/>
      <c r="R787" t="inlineStr"/>
      <c r="S787">
        <f>HYPERLINK("https://helical-indexing-hi3d.streamlit.app/?emd_id=emd-0320&amp;rise=17.46309097&amp;twist=-72.98235776&amp;csym=1&amp;rise2=17.48&amp;twist2=-72.98&amp;csym2=1", "Link")</f>
        <v/>
      </c>
    </row>
    <row r="788">
      <c r="A788" t="inlineStr">
        <is>
          <t>EMD-8405</t>
        </is>
      </c>
      <c r="B788" t="inlineStr">
        <is>
          <t>non-amyloid</t>
        </is>
      </c>
      <c r="C788" t="n">
        <v>3.4</v>
      </c>
      <c r="D788" t="n">
        <v>5.2</v>
      </c>
      <c r="E788" t="n">
        <v>108</v>
      </c>
      <c r="F788" t="inlineStr">
        <is>
          <t>C1</t>
        </is>
      </c>
      <c r="G788" t="inlineStr">
        <is>
          <t>5.184436354</t>
        </is>
      </c>
      <c r="H788" t="n">
        <v>108.0393708</v>
      </c>
      <c r="I788" t="inlineStr">
        <is>
          <t>C1</t>
        </is>
      </c>
      <c r="J788" t="n">
        <v>0.0199391984240263</v>
      </c>
      <c r="K788" t="inlineStr"/>
      <c r="L788" t="n">
        <v>0.9595</v>
      </c>
      <c r="M788" t="n">
        <v>0.968982321</v>
      </c>
      <c r="N788" t="inlineStr">
        <is>
          <t>Yes</t>
        </is>
      </c>
      <c r="O788" t="inlineStr">
        <is>
          <t>improve</t>
        </is>
      </c>
      <c r="P788" t="inlineStr">
        <is>
          <t>adjusted decimals</t>
        </is>
      </c>
      <c r="Q788" t="inlineStr"/>
      <c r="R788" t="inlineStr"/>
      <c r="S788">
        <f>HYPERLINK("https://helical-indexing-hi3d.streamlit.app/?emd_id=emd-8405&amp;rise=5.184436354&amp;twist=108.0393708&amp;csym=1&amp;rise2=5.2&amp;twist2=108.0&amp;csym2=1", "Link")</f>
        <v/>
      </c>
    </row>
    <row r="789">
      <c r="A789" t="inlineStr">
        <is>
          <t>EMD-28715</t>
        </is>
      </c>
      <c r="B789" t="inlineStr">
        <is>
          <t>non-amyloid</t>
        </is>
      </c>
      <c r="C789" t="n">
        <v>3.4</v>
      </c>
      <c r="D789" t="n">
        <v>3.1</v>
      </c>
      <c r="E789" t="n">
        <v>-20.79</v>
      </c>
      <c r="F789" t="inlineStr">
        <is>
          <t>C1</t>
        </is>
      </c>
      <c r="G789" t="inlineStr">
        <is>
          <t>3.1</t>
        </is>
      </c>
      <c r="H789" t="n">
        <v>-20.79</v>
      </c>
      <c r="I789" t="inlineStr">
        <is>
          <t>C1</t>
        </is>
      </c>
      <c r="J789" t="n">
        <v>0</v>
      </c>
      <c r="K789" t="inlineStr"/>
      <c r="L789" t="n">
        <v>0.8001165649999999</v>
      </c>
      <c r="M789" t="n">
        <v>0.8001165649999999</v>
      </c>
      <c r="N789" t="inlineStr">
        <is>
          <t>Yes</t>
        </is>
      </c>
      <c r="O789" t="inlineStr">
        <is>
          <t>equal</t>
        </is>
      </c>
      <c r="P789" t="inlineStr">
        <is>
          <t>deposited</t>
        </is>
      </c>
      <c r="Q789" t="inlineStr"/>
      <c r="R789" t="inlineStr"/>
      <c r="S789">
        <f>HYPERLINK("https://helical-indexing-hi3d.streamlit.app/?emd_id=emd-28715&amp;rise=3.1&amp;twist=-20.79&amp;csym=1&amp;rise2=3.1&amp;twist2=-20.79&amp;csym2=1", "Link")</f>
        <v/>
      </c>
    </row>
    <row r="790">
      <c r="A790" t="inlineStr">
        <is>
          <t>EMD-9357</t>
        </is>
      </c>
      <c r="B790" t="inlineStr">
        <is>
          <t>non-amyloid</t>
        </is>
      </c>
      <c r="C790" t="n">
        <v>3.4</v>
      </c>
      <c r="D790" t="n">
        <v>47.5</v>
      </c>
      <c r="E790" t="n">
        <v>83.01000000000001</v>
      </c>
      <c r="F790" t="inlineStr">
        <is>
          <t>C1</t>
        </is>
      </c>
      <c r="G790" t="inlineStr">
        <is>
          <t>47.5</t>
        </is>
      </c>
      <c r="H790" t="n">
        <v>83.01000000000001</v>
      </c>
      <c r="I790" t="inlineStr">
        <is>
          <t>C1</t>
        </is>
      </c>
      <c r="J790" t="n">
        <v>0</v>
      </c>
      <c r="K790" t="inlineStr">
        <is>
          <t>z -&gt; x</t>
        </is>
      </c>
      <c r="L790" t="n">
        <v>0.88412</v>
      </c>
      <c r="M790" t="n">
        <v>0.88412</v>
      </c>
      <c r="N790" t="inlineStr">
        <is>
          <t>Yes</t>
        </is>
      </c>
      <c r="O790" t="inlineStr">
        <is>
          <t>equal</t>
        </is>
      </c>
      <c r="P790" t="inlineStr">
        <is>
          <t>deposited</t>
        </is>
      </c>
      <c r="Q790" t="inlineStr"/>
      <c r="R790" t="inlineStr"/>
      <c r="S790">
        <f>HYPERLINK("https://helical-indexing-hi3d.streamlit.app/?emd_id=emd-9357&amp;rise=47.5&amp;twist=83.01&amp;csym=1&amp;rise2=47.5&amp;twist2=83.01&amp;csym2=1", "Link")</f>
        <v/>
      </c>
    </row>
    <row r="791">
      <c r="A791" t="inlineStr">
        <is>
          <t>EMD-6993</t>
        </is>
      </c>
      <c r="B791" t="inlineStr">
        <is>
          <t>non-amyloid</t>
        </is>
      </c>
      <c r="C791" t="n">
        <v>3.4</v>
      </c>
      <c r="D791" t="n">
        <v>16.77</v>
      </c>
      <c r="E791" t="n">
        <v>38.52</v>
      </c>
      <c r="F791" t="inlineStr">
        <is>
          <t>C5</t>
        </is>
      </c>
      <c r="G791" t="inlineStr">
        <is>
          <t>16.46953429</t>
        </is>
      </c>
      <c r="H791" t="n">
        <v>-33.48947519</v>
      </c>
      <c r="I791" t="inlineStr">
        <is>
          <t>C5</t>
        </is>
      </c>
      <c r="J791" t="n">
        <v>0.3004701749537435</v>
      </c>
      <c r="K791" t="inlineStr">
        <is>
          <t> </t>
        </is>
      </c>
      <c r="L791" t="n">
        <v>0.78923</v>
      </c>
      <c r="M791" t="n">
        <v>0.868463013</v>
      </c>
      <c r="N791" t="inlineStr">
        <is>
          <t>Yes</t>
        </is>
      </c>
      <c r="O791" t="inlineStr">
        <is>
          <t>improve</t>
        </is>
      </c>
      <c r="P791" t="inlineStr">
        <is>
          <t>twist sign</t>
        </is>
      </c>
      <c r="Q791" t="inlineStr"/>
      <c r="R791" t="inlineStr"/>
      <c r="S791">
        <f>HYPERLINK("https://helical-indexing-hi3d.streamlit.app/?emd_id=emd-6993&amp;rise=16.46953429&amp;twist=-33.48947519&amp;csym=5&amp;rise2=16.77&amp;twist2=38.52&amp;csym2=5", "Link")</f>
        <v/>
      </c>
    </row>
    <row r="792">
      <c r="A792" t="inlineStr">
        <is>
          <t>EMD-9021</t>
        </is>
      </c>
      <c r="B792" t="inlineStr">
        <is>
          <t>non-amyloid</t>
        </is>
      </c>
      <c r="C792" t="n">
        <v>3.4</v>
      </c>
      <c r="D792" t="n">
        <v>14.3312</v>
      </c>
      <c r="E792" t="n">
        <v>43.5023</v>
      </c>
      <c r="F792" t="inlineStr">
        <is>
          <t>C3</t>
        </is>
      </c>
      <c r="G792" t="inlineStr">
        <is>
          <t>14.31774581</t>
        </is>
      </c>
      <c r="H792" t="n">
        <v>43.48925157</v>
      </c>
      <c r="I792" t="inlineStr">
        <is>
          <t>C3</t>
        </is>
      </c>
      <c r="J792" t="n">
        <v>0.0145210909839585</v>
      </c>
      <c r="K792" t="inlineStr"/>
      <c r="L792" t="n">
        <v>0.86578</v>
      </c>
      <c r="M792" t="n">
        <v>0.866104639</v>
      </c>
      <c r="N792" t="inlineStr">
        <is>
          <t>Yes</t>
        </is>
      </c>
      <c r="O792" t="inlineStr">
        <is>
          <t>improve</t>
        </is>
      </c>
      <c r="P792" t="inlineStr">
        <is>
          <t>adjusted decimals</t>
        </is>
      </c>
      <c r="Q792" t="inlineStr"/>
      <c r="R792" t="inlineStr"/>
      <c r="S792">
        <f>HYPERLINK("https://helical-indexing-hi3d.streamlit.app/?emd_id=emd-9021&amp;rise=14.31774581&amp;twist=43.48925157&amp;csym=3&amp;rise2=14.3312&amp;twist2=43.5023&amp;csym2=3", "Link")</f>
        <v/>
      </c>
    </row>
    <row r="793">
      <c r="A793" t="inlineStr">
        <is>
          <t>EMD-9137</t>
        </is>
      </c>
      <c r="B793" t="inlineStr">
        <is>
          <t>non-amyloid</t>
        </is>
      </c>
      <c r="C793" t="n">
        <v>3.4</v>
      </c>
      <c r="D793" t="n">
        <v>5</v>
      </c>
      <c r="E793" t="n">
        <v>100.6</v>
      </c>
      <c r="F793" t="inlineStr">
        <is>
          <t>C1</t>
        </is>
      </c>
      <c r="G793" t="inlineStr">
        <is>
          <t>4.948164294</t>
        </is>
      </c>
      <c r="H793" t="n">
        <v>-100.5804775</v>
      </c>
      <c r="I793" t="inlineStr">
        <is>
          <t>C1</t>
        </is>
      </c>
      <c r="J793" t="n">
        <v>48.03646046</v>
      </c>
      <c r="K793" t="inlineStr">
        <is>
          <t> </t>
        </is>
      </c>
      <c r="L793" t="n">
        <v>0.46977</v>
      </c>
      <c r="M793" t="n">
        <v>0.980002631</v>
      </c>
      <c r="N793" t="inlineStr">
        <is>
          <t>Yes</t>
        </is>
      </c>
      <c r="O793" t="inlineStr">
        <is>
          <t>improve</t>
        </is>
      </c>
      <c r="P793" t="inlineStr">
        <is>
          <t>twist sign</t>
        </is>
      </c>
      <c r="Q793" t="inlineStr"/>
      <c r="R793" t="inlineStr"/>
      <c r="S793">
        <f>HYPERLINK("https://helical-indexing-hi3d.streamlit.app/?emd_id=emd-9137&amp;rise=4.948164294&amp;twist=-100.5804775&amp;csym=1&amp;rise2=5.0&amp;twist2=100.6&amp;csym2=1", "Link")</f>
        <v/>
      </c>
    </row>
    <row r="794">
      <c r="A794" t="inlineStr">
        <is>
          <t>EMD-21579</t>
        </is>
      </c>
      <c r="B794" t="inlineStr">
        <is>
          <t>non-amyloid</t>
        </is>
      </c>
      <c r="C794" t="n">
        <v>3.4</v>
      </c>
      <c r="D794" t="n">
        <v>4.97404</v>
      </c>
      <c r="E794" t="n">
        <v>104.573</v>
      </c>
      <c r="F794" t="inlineStr">
        <is>
          <t>C1</t>
        </is>
      </c>
      <c r="G794" t="inlineStr">
        <is>
          <t>4.97404</t>
        </is>
      </c>
      <c r="H794" t="n">
        <v>104.573</v>
      </c>
      <c r="I794" t="inlineStr">
        <is>
          <t>C1</t>
        </is>
      </c>
      <c r="J794" t="n">
        <v>0</v>
      </c>
      <c r="K794" t="inlineStr"/>
      <c r="L794" t="n">
        <v>0.9953</v>
      </c>
      <c r="M794" t="n">
        <v>0.9953</v>
      </c>
      <c r="N794" t="inlineStr">
        <is>
          <t>Yes</t>
        </is>
      </c>
      <c r="O794" t="inlineStr">
        <is>
          <t>equal</t>
        </is>
      </c>
      <c r="P794" t="inlineStr">
        <is>
          <t>deposited</t>
        </is>
      </c>
      <c r="Q794" t="inlineStr"/>
      <c r="R794" t="inlineStr"/>
      <c r="S794">
        <f>HYPERLINK("https://helical-indexing-hi3d.streamlit.app/?emd_id=emd-21579&amp;rise=4.97404&amp;twist=104.573&amp;csym=1&amp;rise2=4.97404&amp;twist2=104.573&amp;csym2=1", "Link")</f>
        <v/>
      </c>
    </row>
    <row r="795">
      <c r="A795" t="inlineStr">
        <is>
          <t>EMD-22881</t>
        </is>
      </c>
      <c r="B795" t="inlineStr">
        <is>
          <t>non-amyloid</t>
        </is>
      </c>
      <c r="C795" t="n">
        <v>3.4</v>
      </c>
      <c r="D795" t="n">
        <v>4.4</v>
      </c>
      <c r="E795" t="n">
        <v>64.3</v>
      </c>
      <c r="F795" t="inlineStr">
        <is>
          <t>C1</t>
        </is>
      </c>
      <c r="G795" t="inlineStr">
        <is>
          <t>4.383481373</t>
        </is>
      </c>
      <c r="H795" t="n">
        <v>64.32933862</v>
      </c>
      <c r="I795" t="inlineStr">
        <is>
          <t>C1</t>
        </is>
      </c>
      <c r="J795" t="n">
        <v>0.0191006842285328</v>
      </c>
      <c r="K795" t="inlineStr"/>
      <c r="L795" t="n">
        <v>0.83177</v>
      </c>
      <c r="M795" t="n">
        <v>0.877167316</v>
      </c>
      <c r="N795" t="inlineStr">
        <is>
          <t>Yes</t>
        </is>
      </c>
      <c r="O795" t="inlineStr">
        <is>
          <t>improve</t>
        </is>
      </c>
      <c r="P795" t="inlineStr">
        <is>
          <t>adjusted decimals</t>
        </is>
      </c>
      <c r="Q795" t="inlineStr"/>
      <c r="R795" t="inlineStr"/>
      <c r="S795">
        <f>HYPERLINK("https://helical-indexing-hi3d.streamlit.app/?emd_id=emd-22881&amp;rise=4.383481373&amp;twist=64.32933862&amp;csym=1&amp;rise2=4.4&amp;twist2=64.3&amp;csym2=1", "Link")</f>
        <v/>
      </c>
    </row>
    <row r="796">
      <c r="A796" t="inlineStr">
        <is>
          <t>EMD-23481</t>
        </is>
      </c>
      <c r="B796" t="inlineStr">
        <is>
          <t>non-amyloid</t>
        </is>
      </c>
      <c r="C796" t="n">
        <v>3.4</v>
      </c>
      <c r="D796" t="n">
        <v>57.8</v>
      </c>
      <c r="E796" t="n">
        <v>-159.1</v>
      </c>
      <c r="F796" t="inlineStr">
        <is>
          <t>C1</t>
        </is>
      </c>
      <c r="G796" t="inlineStr">
        <is>
          <t>57.8</t>
        </is>
      </c>
      <c r="H796" t="n">
        <v>-159.1</v>
      </c>
      <c r="I796" t="inlineStr">
        <is>
          <t>C1</t>
        </is>
      </c>
      <c r="J796" t="n">
        <v>0</v>
      </c>
      <c r="K796" t="inlineStr"/>
      <c r="L796" t="n">
        <v>0.883224755</v>
      </c>
      <c r="M796" t="n">
        <v>0.883224755</v>
      </c>
      <c r="N796" t="inlineStr">
        <is>
          <t>Yes</t>
        </is>
      </c>
      <c r="O796" t="inlineStr">
        <is>
          <t>equal</t>
        </is>
      </c>
      <c r="P796" t="inlineStr">
        <is>
          <t>deposited</t>
        </is>
      </c>
      <c r="Q796" t="inlineStr"/>
      <c r="R796" t="inlineStr"/>
      <c r="S796">
        <f>HYPERLINK("https://helical-indexing-hi3d.streamlit.app/?emd_id=emd-23481&amp;rise=57.8&amp;twist=-159.1&amp;csym=1&amp;rise2=57.8&amp;twist2=-159.1&amp;csym2=1", "Link")</f>
        <v/>
      </c>
    </row>
    <row r="797">
      <c r="A797" t="inlineStr">
        <is>
          <t>EMD-21094</t>
        </is>
      </c>
      <c r="B797" t="inlineStr">
        <is>
          <t>non-amyloid</t>
        </is>
      </c>
      <c r="C797" t="n">
        <v>3.4</v>
      </c>
      <c r="D797" t="n">
        <v>2.864</v>
      </c>
      <c r="E797" t="n">
        <v>22.9482</v>
      </c>
      <c r="F797" t="inlineStr">
        <is>
          <t>C1</t>
        </is>
      </c>
      <c r="G797" t="inlineStr">
        <is>
          <t>2.829435874</t>
        </is>
      </c>
      <c r="H797" t="n">
        <v>22.95246148</v>
      </c>
      <c r="I797" t="inlineStr">
        <is>
          <t>C1</t>
        </is>
      </c>
      <c r="J797" t="n">
        <v>0.0349807384265192</v>
      </c>
      <c r="K797" t="inlineStr"/>
      <c r="L797" t="n">
        <v>0.7922400000000001</v>
      </c>
      <c r="M797" t="n">
        <v>0.826758346</v>
      </c>
      <c r="N797" t="inlineStr">
        <is>
          <t>Yes</t>
        </is>
      </c>
      <c r="O797" t="inlineStr">
        <is>
          <t>improve</t>
        </is>
      </c>
      <c r="P797" t="inlineStr">
        <is>
          <t>adjusted decimals</t>
        </is>
      </c>
      <c r="Q797" t="inlineStr"/>
      <c r="R797" t="inlineStr"/>
      <c r="S797">
        <f>HYPERLINK("https://helical-indexing-hi3d.streamlit.app/?emd_id=emd-21094&amp;rise=2.829435874&amp;twist=22.95246148&amp;csym=1&amp;rise2=2.864&amp;twist2=22.9482&amp;csym2=1", "Link")</f>
        <v/>
      </c>
    </row>
    <row r="798">
      <c r="A798" t="inlineStr">
        <is>
          <t>EMD-20711</t>
        </is>
      </c>
      <c r="B798" t="inlineStr">
        <is>
          <t>non-amyloid</t>
        </is>
      </c>
      <c r="C798" t="n">
        <v>3.4</v>
      </c>
      <c r="D798" t="n">
        <v>27.24</v>
      </c>
      <c r="E798" t="n">
        <v>-162.5</v>
      </c>
      <c r="F798" t="inlineStr">
        <is>
          <t>C1</t>
        </is>
      </c>
      <c r="G798" t="inlineStr">
        <is>
          <t>27.24</t>
        </is>
      </c>
      <c r="H798" t="n">
        <v>-162.5</v>
      </c>
      <c r="I798" t="inlineStr">
        <is>
          <t>C1</t>
        </is>
      </c>
      <c r="J798" t="n">
        <v>0</v>
      </c>
      <c r="K798" t="inlineStr"/>
      <c r="L798" t="n">
        <v>0.894762965</v>
      </c>
      <c r="M798" t="n">
        <v>0.894762965</v>
      </c>
      <c r="N798" t="inlineStr">
        <is>
          <t>Yes</t>
        </is>
      </c>
      <c r="O798" t="inlineStr">
        <is>
          <t>equal</t>
        </is>
      </c>
      <c r="P798" t="inlineStr">
        <is>
          <t>deposited</t>
        </is>
      </c>
      <c r="Q798" t="inlineStr"/>
      <c r="R798" t="inlineStr"/>
      <c r="S798">
        <f>HYPERLINK("https://helical-indexing-hi3d.streamlit.app/?emd_id=emd-20711&amp;rise=27.24&amp;twist=-162.5&amp;csym=1&amp;rise2=27.24&amp;twist2=-162.5&amp;csym2=1", "Link")</f>
        <v/>
      </c>
    </row>
    <row r="799">
      <c r="A799" t="inlineStr">
        <is>
          <t>EMD-22231</t>
        </is>
      </c>
      <c r="B799" t="inlineStr">
        <is>
          <t>non-amyloid</t>
        </is>
      </c>
      <c r="C799" t="n">
        <v>3.4</v>
      </c>
      <c r="D799" t="n">
        <v>4.83</v>
      </c>
      <c r="E799" t="n">
        <v>65.3</v>
      </c>
      <c r="F799" t="inlineStr">
        <is>
          <t>C1</t>
        </is>
      </c>
      <c r="G799" t="inlineStr">
        <is>
          <t>4.858238088</t>
        </is>
      </c>
      <c r="H799" t="n">
        <v>65.526703</v>
      </c>
      <c r="I799" t="inlineStr">
        <is>
          <t>C1</t>
        </is>
      </c>
      <c r="J799" t="n">
        <v>0.1203476228532805</v>
      </c>
      <c r="K799" t="inlineStr"/>
      <c r="L799" t="n">
        <v>0.4861</v>
      </c>
      <c r="M799" t="n">
        <v>0.821087345</v>
      </c>
      <c r="N799" t="inlineStr">
        <is>
          <t>Yes</t>
        </is>
      </c>
      <c r="O799" t="inlineStr">
        <is>
          <t>improve</t>
        </is>
      </c>
      <c r="P799" t="inlineStr">
        <is>
          <t>adjusted decimals</t>
        </is>
      </c>
      <c r="Q799" t="inlineStr"/>
      <c r="R799" t="inlineStr"/>
      <c r="S799">
        <f>HYPERLINK("https://helical-indexing-hi3d.streamlit.app/?emd_id=emd-22231&amp;rise=4.858238088&amp;twist=65.526703&amp;csym=1&amp;rise2=4.83&amp;twist2=65.3&amp;csym2=1", "Link")</f>
        <v/>
      </c>
    </row>
    <row r="800">
      <c r="A800" t="inlineStr">
        <is>
          <t>EMD-17058</t>
        </is>
      </c>
      <c r="B800" t="inlineStr">
        <is>
          <t>non-amyloid</t>
        </is>
      </c>
      <c r="C800" t="n">
        <v>3.41</v>
      </c>
      <c r="D800" t="n">
        <v>5.06</v>
      </c>
      <c r="E800" t="n">
        <v>-44.45</v>
      </c>
      <c r="F800" t="inlineStr">
        <is>
          <t>C1</t>
        </is>
      </c>
      <c r="G800" t="inlineStr">
        <is>
          <t>5.06</t>
        </is>
      </c>
      <c r="H800" t="n">
        <v>-44.45</v>
      </c>
      <c r="I800" t="inlineStr">
        <is>
          <t>C1</t>
        </is>
      </c>
      <c r="J800" t="n">
        <v>0</v>
      </c>
      <c r="K800" t="inlineStr"/>
      <c r="L800" t="n">
        <v>0.96434</v>
      </c>
      <c r="M800" t="n">
        <v>0.96434</v>
      </c>
      <c r="N800" t="inlineStr">
        <is>
          <t>Yes</t>
        </is>
      </c>
      <c r="O800" t="inlineStr">
        <is>
          <t>equal</t>
        </is>
      </c>
      <c r="P800" t="inlineStr">
        <is>
          <t>deposited</t>
        </is>
      </c>
      <c r="Q800" t="inlineStr"/>
      <c r="R800" t="inlineStr"/>
      <c r="S800">
        <f>HYPERLINK("https://helical-indexing-hi3d.streamlit.app/?emd_id=emd-17058&amp;rise=5.06&amp;twist=-44.45&amp;csym=1&amp;rise2=5.06&amp;twist2=-44.45&amp;csym2=1", "Link")</f>
        <v/>
      </c>
    </row>
    <row r="801">
      <c r="A801" t="inlineStr">
        <is>
          <t>EMD-11592</t>
        </is>
      </c>
      <c r="B801" t="inlineStr">
        <is>
          <t>non-amyloid</t>
        </is>
      </c>
      <c r="C801" t="n">
        <v>3.41</v>
      </c>
      <c r="D801" t="n">
        <v>3.22937</v>
      </c>
      <c r="E801" t="n">
        <v>31.0338</v>
      </c>
      <c r="F801" t="inlineStr">
        <is>
          <t>C1</t>
        </is>
      </c>
      <c r="G801" t="inlineStr">
        <is>
          <t>3.22</t>
        </is>
      </c>
      <c r="H801" t="n">
        <v>-31.03</v>
      </c>
      <c r="I801" t="inlineStr">
        <is>
          <t>C1</t>
        </is>
      </c>
      <c r="J801" t="n">
        <v>68.42088899894573</v>
      </c>
      <c r="K801" t="inlineStr">
        <is>
          <t>z -&gt; x</t>
        </is>
      </c>
      <c r="L801" t="n">
        <v>0.04112</v>
      </c>
      <c r="M801" t="n">
        <v>0.90541</v>
      </c>
      <c r="N801" t="inlineStr">
        <is>
          <t>Yes</t>
        </is>
      </c>
      <c r="O801" t="inlineStr">
        <is>
          <t>improve</t>
        </is>
      </c>
      <c r="P801" t="inlineStr">
        <is>
          <t>twist sign</t>
        </is>
      </c>
      <c r="Q801" t="inlineStr"/>
      <c r="R801" t="inlineStr"/>
      <c r="S801">
        <f>HYPERLINK("https://helical-indexing-hi3d.streamlit.app/?emd_id=emd-11592&amp;rise=3.22&amp;twist=-31.03&amp;csym=1&amp;rise2=3.22937&amp;twist2=31.0338&amp;csym2=1", "Link")</f>
        <v/>
      </c>
    </row>
    <row r="802">
      <c r="A802" t="inlineStr">
        <is>
          <t>EMD-31154</t>
        </is>
      </c>
      <c r="B802" t="inlineStr">
        <is>
          <t>non-amyloid</t>
        </is>
      </c>
      <c r="C802" t="n">
        <v>3.41</v>
      </c>
      <c r="D802" t="n">
        <v>15.8</v>
      </c>
      <c r="E802" t="n">
        <v>56.77</v>
      </c>
      <c r="F802" t="inlineStr">
        <is>
          <t>C1</t>
        </is>
      </c>
      <c r="G802" t="inlineStr">
        <is>
          <t>15.56531042</t>
        </is>
      </c>
      <c r="H802" t="n">
        <v>54.71095781</v>
      </c>
      <c r="I802" t="inlineStr">
        <is>
          <t>C1</t>
        </is>
      </c>
      <c r="J802" t="n">
        <v>0.6351365420304356</v>
      </c>
      <c r="K802" t="inlineStr"/>
      <c r="L802" t="n">
        <v>0.43058</v>
      </c>
      <c r="M802" t="n">
        <v>0.960231595</v>
      </c>
      <c r="N802" t="inlineStr">
        <is>
          <t>Yes</t>
        </is>
      </c>
      <c r="O802" t="inlineStr">
        <is>
          <t>improve</t>
        </is>
      </c>
      <c r="P802" t="inlineStr">
        <is>
          <t>adjusted decimals</t>
        </is>
      </c>
      <c r="Q802" t="inlineStr"/>
      <c r="R802" t="inlineStr"/>
      <c r="S802">
        <f>HYPERLINK("https://helical-indexing-hi3d.streamlit.app/?emd_id=emd-31154&amp;rise=15.56531042&amp;twist=54.71095781&amp;csym=1&amp;rise2=15.8&amp;twist2=56.77&amp;csym2=1", "Link")</f>
        <v/>
      </c>
    </row>
    <row r="803">
      <c r="A803" t="inlineStr">
        <is>
          <t>EMD-30310</t>
        </is>
      </c>
      <c r="B803" t="inlineStr">
        <is>
          <t>non-amyloid</t>
        </is>
      </c>
      <c r="C803" t="n">
        <v>3.43</v>
      </c>
      <c r="D803" t="n">
        <v>15.8</v>
      </c>
      <c r="E803" t="n">
        <v>56.18</v>
      </c>
      <c r="F803" t="inlineStr">
        <is>
          <t>C1</t>
        </is>
      </c>
      <c r="G803" t="inlineStr"/>
      <c r="H803" t="inlineStr"/>
      <c r="I803" t="inlineStr">
        <is>
          <t>Cnan</t>
        </is>
      </c>
      <c r="J803" t="inlineStr"/>
      <c r="K803" t="inlineStr"/>
      <c r="L803" t="n">
        <v>0.576821557</v>
      </c>
      <c r="M803" t="n">
        <v>0.583416493</v>
      </c>
      <c r="N803" t="inlineStr">
        <is>
          <t>Excluded</t>
        </is>
      </c>
      <c r="O803" t="inlineStr">
        <is>
          <t>improve</t>
        </is>
      </c>
      <c r="P803" t="inlineStr">
        <is>
          <t>focus reconstruction</t>
        </is>
      </c>
      <c r="Q803" t="inlineStr"/>
      <c r="R803" t="inlineStr"/>
      <c r="S803">
        <f>HYPERLINK("https://helical-indexing-hi3d.streamlit.app/?emd_id=emd-30310&amp;rise=nan&amp;twist=nan&amp;csym=nan&amp;rise2=15.8&amp;twist2=56.18&amp;csym2=1", "Link")</f>
        <v/>
      </c>
    </row>
    <row r="804">
      <c r="A804" t="inlineStr">
        <is>
          <t>EMD-34248</t>
        </is>
      </c>
      <c r="B804" t="inlineStr">
        <is>
          <t>non-amyloid</t>
        </is>
      </c>
      <c r="C804" t="n">
        <v>3.43</v>
      </c>
      <c r="D804" t="n">
        <v>40</v>
      </c>
      <c r="E804" t="n">
        <v>30</v>
      </c>
      <c r="F804" t="inlineStr">
        <is>
          <t>C6</t>
        </is>
      </c>
      <c r="G804" t="inlineStr">
        <is>
          <t>40.49571125</t>
        </is>
      </c>
      <c r="H804" t="n">
        <v>30.00000005</v>
      </c>
      <c r="I804" t="inlineStr">
        <is>
          <t>C6</t>
        </is>
      </c>
      <c r="J804" t="n">
        <v>0.4957112499999996</v>
      </c>
      <c r="K804" t="inlineStr"/>
      <c r="L804" t="n">
        <v>0.84184</v>
      </c>
      <c r="M804" t="n">
        <v>0.965676778</v>
      </c>
      <c r="N804" t="inlineStr">
        <is>
          <t>Yes</t>
        </is>
      </c>
      <c r="O804" t="inlineStr">
        <is>
          <t>improve</t>
        </is>
      </c>
      <c r="P804" t="inlineStr">
        <is>
          <t>adjusted decimals</t>
        </is>
      </c>
      <c r="Q804" t="inlineStr"/>
      <c r="R804" t="inlineStr"/>
      <c r="S804">
        <f>HYPERLINK("https://helical-indexing-hi3d.streamlit.app/?emd_id=emd-34248&amp;rise=40.49571125&amp;twist=30.00000005&amp;csym=6&amp;rise2=40.0&amp;twist2=30.0&amp;csym2=6", "Link")</f>
        <v/>
      </c>
    </row>
    <row r="805">
      <c r="A805" t="inlineStr">
        <is>
          <t>EMD-27414</t>
        </is>
      </c>
      <c r="B805" t="inlineStr">
        <is>
          <t>non-amyloid</t>
        </is>
      </c>
      <c r="C805" t="n">
        <v>3.44</v>
      </c>
      <c r="D805" t="n">
        <v>3.61</v>
      </c>
      <c r="E805" t="n">
        <v>76.5</v>
      </c>
      <c r="F805" t="inlineStr">
        <is>
          <t>C1</t>
        </is>
      </c>
      <c r="G805" t="inlineStr">
        <is>
          <t>3.626390315</t>
        </is>
      </c>
      <c r="H805" t="n">
        <v>76.50027333</v>
      </c>
      <c r="I805" t="inlineStr">
        <is>
          <t>C1</t>
        </is>
      </c>
      <c r="J805" t="n">
        <v>0.016390669</v>
      </c>
      <c r="K805" t="inlineStr"/>
      <c r="L805" t="n">
        <v>0.9323</v>
      </c>
      <c r="M805" t="n">
        <v>0.958687299</v>
      </c>
      <c r="N805" t="inlineStr">
        <is>
          <t>Yes</t>
        </is>
      </c>
      <c r="O805" t="inlineStr">
        <is>
          <t>improve</t>
        </is>
      </c>
      <c r="P805" t="inlineStr">
        <is>
          <t>adjusted decimals</t>
        </is>
      </c>
      <c r="Q805" t="inlineStr"/>
      <c r="R805" t="inlineStr"/>
      <c r="S805">
        <f>HYPERLINK("https://helical-indexing-hi3d.streamlit.app/?emd_id=emd-27414&amp;rise=3.626390315&amp;twist=76.50027333&amp;csym=1&amp;rise2=3.61&amp;twist2=76.5&amp;csym2=1", "Link")</f>
        <v/>
      </c>
    </row>
    <row r="806">
      <c r="A806" t="inlineStr">
        <is>
          <t>EMD-4196</t>
        </is>
      </c>
      <c r="B806" t="inlineStr">
        <is>
          <t>non-amyloid</t>
        </is>
      </c>
      <c r="C806" t="n">
        <v>3.44</v>
      </c>
      <c r="D806" t="n">
        <v>24.9219</v>
      </c>
      <c r="E806" t="n">
        <v>156.521</v>
      </c>
      <c r="F806" t="inlineStr">
        <is>
          <t>C1</t>
        </is>
      </c>
      <c r="G806" t="inlineStr"/>
      <c r="H806" t="inlineStr"/>
      <c r="I806" t="inlineStr">
        <is>
          <t>C1</t>
        </is>
      </c>
      <c r="J806" t="inlineStr"/>
      <c r="K806" t="inlineStr"/>
      <c r="L806" t="n">
        <v>0.74233</v>
      </c>
      <c r="M806" t="n">
        <v>0.743069341</v>
      </c>
      <c r="N806" t="inlineStr">
        <is>
          <t>Excluded</t>
        </is>
      </c>
      <c r="O806" t="inlineStr">
        <is>
          <t>improve</t>
        </is>
      </c>
      <c r="P806" t="inlineStr">
        <is>
          <t>focus reconstruction</t>
        </is>
      </c>
      <c r="Q806" t="inlineStr"/>
      <c r="R806" t="inlineStr"/>
      <c r="S806">
        <f>HYPERLINK("https://helical-indexing-hi3d.streamlit.app/?emd_id=emd-4196&amp;rise=nan&amp;twist=nan&amp;csym=1&amp;rise2=24.9219&amp;twist2=156.521&amp;csym2=1", "Link")</f>
        <v/>
      </c>
    </row>
    <row r="807">
      <c r="A807" t="inlineStr">
        <is>
          <t>EMD-14777</t>
        </is>
      </c>
      <c r="B807" t="inlineStr">
        <is>
          <t>non-amyloid</t>
        </is>
      </c>
      <c r="C807" t="n">
        <v>3.45</v>
      </c>
      <c r="D807" t="n">
        <v>27.97</v>
      </c>
      <c r="E807" t="n">
        <v>-152.8</v>
      </c>
      <c r="F807" t="inlineStr">
        <is>
          <t>D1</t>
        </is>
      </c>
      <c r="G807" t="inlineStr"/>
      <c r="H807" t="inlineStr"/>
      <c r="I807" t="inlineStr">
        <is>
          <t>Cnan</t>
        </is>
      </c>
      <c r="J807" t="inlineStr"/>
      <c r="K807" t="inlineStr"/>
      <c r="L807" t="inlineStr"/>
      <c r="M807" t="inlineStr"/>
      <c r="N807" t="inlineStr">
        <is>
          <t>No</t>
        </is>
      </c>
      <c r="O807" t="inlineStr"/>
      <c r="P807" t="inlineStr">
        <is>
          <t>single unit</t>
        </is>
      </c>
      <c r="Q807" t="inlineStr"/>
      <c r="R807" t="inlineStr"/>
      <c r="S807">
        <f>HYPERLINK("https://helical-indexing-hi3d.streamlit.app/?emd_id=emd-14777&amp;rise=nan&amp;twist=nan&amp;csym=nan&amp;rise2=27.97&amp;twist2=-152.8&amp;csym2=1", "Link")</f>
        <v/>
      </c>
    </row>
    <row r="808">
      <c r="A808" t="inlineStr">
        <is>
          <t>EMD-17056</t>
        </is>
      </c>
      <c r="B808" t="inlineStr">
        <is>
          <t>non-amyloid</t>
        </is>
      </c>
      <c r="C808" t="n">
        <v>3.45</v>
      </c>
      <c r="D808" t="n">
        <v>80.13</v>
      </c>
      <c r="E808" t="n">
        <v>-8.210000000000001</v>
      </c>
      <c r="F808" t="inlineStr">
        <is>
          <t>C8</t>
        </is>
      </c>
      <c r="G808" t="inlineStr">
        <is>
          <t>40.03</t>
        </is>
      </c>
      <c r="H808" t="n">
        <v>-4.12</v>
      </c>
      <c r="I808" t="inlineStr">
        <is>
          <t>C8</t>
        </is>
      </c>
      <c r="J808" t="n">
        <v>40.17686297</v>
      </c>
      <c r="K808" t="inlineStr"/>
      <c r="L808" t="n">
        <v>0.93523</v>
      </c>
      <c r="M808" t="n">
        <v>0.96556</v>
      </c>
      <c r="N808" t="inlineStr">
        <is>
          <t>Yes</t>
        </is>
      </c>
      <c r="O808" t="inlineStr">
        <is>
          <t>improve</t>
        </is>
      </c>
      <c r="P808" t="inlineStr">
        <is>
          <t>different</t>
        </is>
      </c>
      <c r="Q808" t="inlineStr">
        <is>
          <t>partial symmetry</t>
        </is>
      </c>
      <c r="R808" t="inlineStr"/>
      <c r="S808">
        <f>HYPERLINK("https://helical-indexing-hi3d.streamlit.app/?emd_id=emd-17056&amp;rise=40.03&amp;twist=-4.12&amp;csym=8&amp;rise2=80.13&amp;twist2=-8.21&amp;csym2=8", "Link")</f>
        <v/>
      </c>
    </row>
    <row r="809">
      <c r="A809" t="inlineStr">
        <is>
          <t>EMD-17073</t>
        </is>
      </c>
      <c r="B809" t="inlineStr">
        <is>
          <t>non-amyloid</t>
        </is>
      </c>
      <c r="C809" t="n">
        <v>3.46</v>
      </c>
      <c r="D809" t="n">
        <v>4.08</v>
      </c>
      <c r="E809" t="n">
        <v>-40.961</v>
      </c>
      <c r="F809" t="inlineStr">
        <is>
          <t>C1</t>
        </is>
      </c>
      <c r="G809" t="inlineStr">
        <is>
          <t>4.08</t>
        </is>
      </c>
      <c r="H809" t="n">
        <v>-40.961</v>
      </c>
      <c r="I809" t="inlineStr">
        <is>
          <t>C1</t>
        </is>
      </c>
      <c r="J809" t="n">
        <v>0</v>
      </c>
      <c r="K809" t="inlineStr"/>
      <c r="L809" t="n">
        <v>0.97253</v>
      </c>
      <c r="M809" t="n">
        <v>0.97253</v>
      </c>
      <c r="N809" t="inlineStr">
        <is>
          <t>Yes</t>
        </is>
      </c>
      <c r="O809" t="inlineStr">
        <is>
          <t>equal</t>
        </is>
      </c>
      <c r="P809" t="inlineStr">
        <is>
          <t>deposited</t>
        </is>
      </c>
      <c r="Q809" t="inlineStr"/>
      <c r="R809" t="inlineStr"/>
      <c r="S809">
        <f>HYPERLINK("https://helical-indexing-hi3d.streamlit.app/?emd_id=emd-17073&amp;rise=4.08&amp;twist=-40.961&amp;csym=1&amp;rise2=4.08&amp;twist2=-40.961&amp;csym2=1", "Link")</f>
        <v/>
      </c>
    </row>
    <row r="810">
      <c r="A810" t="inlineStr">
        <is>
          <t>EMD-13546</t>
        </is>
      </c>
      <c r="B810" t="inlineStr">
        <is>
          <t>non-amyloid</t>
        </is>
      </c>
      <c r="C810" t="n">
        <v>3.46</v>
      </c>
      <c r="D810" t="n">
        <v>31.649</v>
      </c>
      <c r="E810" t="n">
        <v>-103.234</v>
      </c>
      <c r="F810" t="inlineStr">
        <is>
          <t>C1</t>
        </is>
      </c>
      <c r="G810" t="inlineStr">
        <is>
          <t>31.649</t>
        </is>
      </c>
      <c r="H810" t="n">
        <v>-103.234</v>
      </c>
      <c r="I810" t="inlineStr">
        <is>
          <t>C1</t>
        </is>
      </c>
      <c r="J810" t="n">
        <v>0</v>
      </c>
      <c r="K810" t="inlineStr"/>
      <c r="L810" t="n">
        <v>0.878849617</v>
      </c>
      <c r="M810" t="n">
        <v>0.878849617</v>
      </c>
      <c r="N810" t="inlineStr">
        <is>
          <t>Yes</t>
        </is>
      </c>
      <c r="O810" t="inlineStr">
        <is>
          <t>equal</t>
        </is>
      </c>
      <c r="P810" t="inlineStr">
        <is>
          <t>deposited</t>
        </is>
      </c>
      <c r="Q810" t="inlineStr"/>
      <c r="R810" t="inlineStr"/>
      <c r="S810">
        <f>HYPERLINK("https://helical-indexing-hi3d.streamlit.app/?emd_id=emd-13546&amp;rise=31.649&amp;twist=-103.234&amp;csym=1&amp;rise2=31.649&amp;twist2=-103.234&amp;csym2=1", "Link")</f>
        <v/>
      </c>
    </row>
    <row r="811">
      <c r="A811" t="inlineStr">
        <is>
          <t>EMD-41283</t>
        </is>
      </c>
      <c r="B811" t="inlineStr">
        <is>
          <t>non-amyloid</t>
        </is>
      </c>
      <c r="C811" t="n">
        <v>3.47</v>
      </c>
      <c r="D811" t="n">
        <v>15.8</v>
      </c>
      <c r="E811" t="n">
        <v>-39.65</v>
      </c>
      <c r="F811" t="inlineStr">
        <is>
          <t>C1</t>
        </is>
      </c>
      <c r="G811" t="inlineStr">
        <is>
          <t>15.8</t>
        </is>
      </c>
      <c r="H811" t="n">
        <v>-39.65</v>
      </c>
      <c r="I811" t="inlineStr">
        <is>
          <t>C1</t>
        </is>
      </c>
      <c r="J811" t="n">
        <v>0</v>
      </c>
      <c r="K811" t="inlineStr"/>
      <c r="L811" t="n">
        <v>0.90177</v>
      </c>
      <c r="M811" t="n">
        <v>0.90177</v>
      </c>
      <c r="N811" t="inlineStr">
        <is>
          <t>Yes</t>
        </is>
      </c>
      <c r="O811" t="inlineStr">
        <is>
          <t>equal</t>
        </is>
      </c>
      <c r="P811" t="inlineStr">
        <is>
          <t>deposited</t>
        </is>
      </c>
      <c r="Q811" t="inlineStr"/>
      <c r="R811" t="inlineStr"/>
      <c r="S811">
        <f>HYPERLINK("https://helical-indexing-hi3d.streamlit.app/?emd_id=emd-41283&amp;rise=15.8&amp;twist=-39.65&amp;csym=1&amp;rise2=15.8&amp;twist2=-39.65&amp;csym2=1", "Link")</f>
        <v/>
      </c>
    </row>
    <row r="812">
      <c r="A812" t="inlineStr">
        <is>
          <t>EMD-30308</t>
        </is>
      </c>
      <c r="B812" t="inlineStr">
        <is>
          <t>non-amyloid</t>
        </is>
      </c>
      <c r="C812" t="n">
        <v>3.47</v>
      </c>
      <c r="D812" t="n">
        <v>15.72</v>
      </c>
      <c r="E812" t="n">
        <v>55.59</v>
      </c>
      <c r="F812" t="inlineStr">
        <is>
          <t>C1</t>
        </is>
      </c>
      <c r="G812" t="inlineStr">
        <is>
          <t>15.71893116</t>
        </is>
      </c>
      <c r="H812" t="n">
        <v>55.41290322</v>
      </c>
      <c r="I812" t="inlineStr">
        <is>
          <t>C1</t>
        </is>
      </c>
      <c r="J812" t="n">
        <v>0.0572989757770962</v>
      </c>
      <c r="K812" t="inlineStr"/>
      <c r="L812" t="n">
        <v>0.761264805</v>
      </c>
      <c r="M812" t="n">
        <v>0.771330089</v>
      </c>
      <c r="N812" t="inlineStr">
        <is>
          <t>Yes</t>
        </is>
      </c>
      <c r="O812" t="inlineStr">
        <is>
          <t>improve</t>
        </is>
      </c>
      <c r="P812" t="inlineStr">
        <is>
          <t>adjusted decimals</t>
        </is>
      </c>
      <c r="Q812" t="inlineStr"/>
      <c r="R812" t="inlineStr"/>
      <c r="S812">
        <f>HYPERLINK("https://helical-indexing-hi3d.streamlit.app/?emd_id=emd-30308&amp;rise=15.71893116&amp;twist=55.41290322&amp;csym=1&amp;rise2=15.72&amp;twist2=55.59&amp;csym2=1", "Link")</f>
        <v/>
      </c>
    </row>
    <row r="813">
      <c r="A813" t="inlineStr">
        <is>
          <t>EMD-26841</t>
        </is>
      </c>
      <c r="B813" t="inlineStr">
        <is>
          <t>non-amyloid</t>
        </is>
      </c>
      <c r="C813" t="n">
        <v>3.47</v>
      </c>
      <c r="D813" t="n">
        <v>1.42</v>
      </c>
      <c r="E813" t="n">
        <v>-10.14</v>
      </c>
      <c r="F813" t="inlineStr">
        <is>
          <t>C1</t>
        </is>
      </c>
      <c r="G813" t="inlineStr"/>
      <c r="H813" t="inlineStr"/>
      <c r="I813" t="inlineStr">
        <is>
          <t>Cnan</t>
        </is>
      </c>
      <c r="J813" t="inlineStr"/>
      <c r="K813" t="inlineStr"/>
      <c r="L813" t="n">
        <v>0.06887</v>
      </c>
      <c r="M813" t="n">
        <v>0.464399365</v>
      </c>
      <c r="N813" t="inlineStr">
        <is>
          <t>Excluded</t>
        </is>
      </c>
      <c r="O813" t="inlineStr">
        <is>
          <t>improve</t>
        </is>
      </c>
      <c r="P813" t="inlineStr">
        <is>
          <t>partial map</t>
        </is>
      </c>
      <c r="Q813" t="inlineStr"/>
      <c r="R813" t="inlineStr"/>
      <c r="S813">
        <f>HYPERLINK("https://helical-indexing-hi3d.streamlit.app/?emd_id=emd-26841&amp;rise=nan&amp;twist=nan&amp;csym=nan&amp;rise2=1.42&amp;twist2=-10.14&amp;csym2=1", "Link")</f>
        <v/>
      </c>
    </row>
    <row r="814">
      <c r="A814" t="inlineStr">
        <is>
          <t>EMD-15673</t>
        </is>
      </c>
      <c r="B814" t="inlineStr">
        <is>
          <t>non-amyloid</t>
        </is>
      </c>
      <c r="C814" t="n">
        <v>3.47</v>
      </c>
      <c r="D814" t="n">
        <v>48.36</v>
      </c>
      <c r="E814" t="n">
        <v>-55.18</v>
      </c>
      <c r="F814" t="inlineStr">
        <is>
          <t>C1</t>
        </is>
      </c>
      <c r="G814" t="inlineStr">
        <is>
          <t>48.05350249</t>
        </is>
      </c>
      <c r="H814" t="n">
        <v>-56.00474132</v>
      </c>
      <c r="I814" t="inlineStr">
        <is>
          <t>C1</t>
        </is>
      </c>
      <c r="J814" t="n">
        <v>0.3234081432137849</v>
      </c>
      <c r="K814" t="inlineStr"/>
      <c r="L814" t="n">
        <v>0.86229</v>
      </c>
      <c r="M814" t="n">
        <v>0.883776912</v>
      </c>
      <c r="N814" t="inlineStr">
        <is>
          <t>Yes</t>
        </is>
      </c>
      <c r="O814" t="inlineStr">
        <is>
          <t>improve</t>
        </is>
      </c>
      <c r="P814" t="inlineStr">
        <is>
          <t>adjusted decimals</t>
        </is>
      </c>
      <c r="Q814" t="inlineStr"/>
      <c r="R814" t="inlineStr"/>
      <c r="S814">
        <f>HYPERLINK("https://helical-indexing-hi3d.streamlit.app/?emd_id=emd-15673&amp;rise=48.05350249&amp;twist=-56.00474132&amp;csym=1&amp;rise2=48.36&amp;twist2=-55.18&amp;csym2=1", "Link")</f>
        <v/>
      </c>
    </row>
    <row r="815">
      <c r="A815" t="inlineStr">
        <is>
          <t>EMD-10648</t>
        </is>
      </c>
      <c r="B815" t="inlineStr">
        <is>
          <t>non-amyloid</t>
        </is>
      </c>
      <c r="C815" t="n">
        <v>3.49</v>
      </c>
      <c r="D815" t="n">
        <v>11.3</v>
      </c>
      <c r="E815" t="n">
        <v>84.3</v>
      </c>
      <c r="F815" t="inlineStr">
        <is>
          <t>C1</t>
        </is>
      </c>
      <c r="G815" t="inlineStr">
        <is>
          <t>11.23769046</t>
        </is>
      </c>
      <c r="H815" t="n">
        <v>84.30833502999999</v>
      </c>
      <c r="I815" t="inlineStr">
        <is>
          <t>C1</t>
        </is>
      </c>
      <c r="J815" t="n">
        <v>0.062330203</v>
      </c>
      <c r="K815" t="inlineStr"/>
      <c r="L815" t="n">
        <v>0.86025</v>
      </c>
      <c r="M815" t="n">
        <v>0.862566312</v>
      </c>
      <c r="N815" t="inlineStr">
        <is>
          <t>Yes</t>
        </is>
      </c>
      <c r="O815" t="inlineStr">
        <is>
          <t>improve</t>
        </is>
      </c>
      <c r="P815" t="inlineStr">
        <is>
          <t>adjusted decimals</t>
        </is>
      </c>
      <c r="Q815" t="inlineStr"/>
      <c r="R815" t="inlineStr"/>
      <c r="S815">
        <f>HYPERLINK("https://helical-indexing-hi3d.streamlit.app/?emd_id=emd-10648&amp;rise=11.23769046&amp;twist=84.30833503&amp;csym=1&amp;rise2=11.3&amp;twist2=84.3&amp;csym2=1", "Link")</f>
        <v/>
      </c>
    </row>
    <row r="816">
      <c r="A816" t="inlineStr">
        <is>
          <t>EMD-8323</t>
        </is>
      </c>
      <c r="B816" t="inlineStr">
        <is>
          <t>microtubule</t>
        </is>
      </c>
      <c r="C816" t="n">
        <v>3.5</v>
      </c>
      <c r="D816" t="n">
        <v>9.4</v>
      </c>
      <c r="E816" t="n">
        <v>-27.7</v>
      </c>
      <c r="F816" t="inlineStr">
        <is>
          <t>C1</t>
        </is>
      </c>
      <c r="G816" t="inlineStr">
        <is>
          <t>9.33133909</t>
        </is>
      </c>
      <c r="H816" t="n">
        <v>-27.6949192</v>
      </c>
      <c r="I816" t="inlineStr">
        <is>
          <t>C1</t>
        </is>
      </c>
      <c r="J816" t="n">
        <v>0.068689611</v>
      </c>
      <c r="K816" t="inlineStr"/>
      <c r="L816" t="n">
        <v>0.789777572</v>
      </c>
      <c r="M816" t="n">
        <v>0.808366577</v>
      </c>
      <c r="N816" t="inlineStr">
        <is>
          <t>Yes</t>
        </is>
      </c>
      <c r="O816" t="inlineStr">
        <is>
          <t>improve</t>
        </is>
      </c>
      <c r="P816" t="inlineStr">
        <is>
          <t>adjusted decimals</t>
        </is>
      </c>
      <c r="Q816" t="inlineStr"/>
      <c r="R816" t="inlineStr"/>
      <c r="S816">
        <f>HYPERLINK("https://helical-indexing-hi3d.streamlit.app/?emd_id=emd-8323&amp;rise=9.33133909&amp;twist=-27.6949192&amp;csym=1&amp;rise2=9.4&amp;twist2=-27.7&amp;csym2=1", "Link")</f>
        <v/>
      </c>
    </row>
    <row r="817">
      <c r="A817" t="inlineStr">
        <is>
          <t>EMD-8266</t>
        </is>
      </c>
      <c r="B817" t="inlineStr">
        <is>
          <t>microtubule</t>
        </is>
      </c>
      <c r="C817" t="n">
        <v>3.5</v>
      </c>
      <c r="D817" t="n">
        <v>8.67</v>
      </c>
      <c r="E817" t="n">
        <v>-25.76</v>
      </c>
      <c r="F817" t="inlineStr">
        <is>
          <t>C1</t>
        </is>
      </c>
      <c r="G817" t="inlineStr">
        <is>
          <t>8.67</t>
        </is>
      </c>
      <c r="H817" t="n">
        <v>-25.76</v>
      </c>
      <c r="I817" t="inlineStr">
        <is>
          <t>C1</t>
        </is>
      </c>
      <c r="J817" t="n">
        <v>0</v>
      </c>
      <c r="K817" t="inlineStr"/>
      <c r="L817" t="n">
        <v>0.853195921</v>
      </c>
      <c r="M817" t="n">
        <v>0.853195921</v>
      </c>
      <c r="N817" t="inlineStr">
        <is>
          <t>Yes</t>
        </is>
      </c>
      <c r="O817" t="inlineStr">
        <is>
          <t>equal</t>
        </is>
      </c>
      <c r="P817" t="inlineStr">
        <is>
          <t>deposited</t>
        </is>
      </c>
      <c r="Q817" t="inlineStr"/>
      <c r="R817" t="inlineStr"/>
      <c r="S817">
        <f>HYPERLINK("https://helical-indexing-hi3d.streamlit.app/?emd_id=emd-8266&amp;rise=8.67&amp;twist=-25.76&amp;csym=1&amp;rise2=8.67&amp;twist2=-25.76&amp;csym2=1", "Link")</f>
        <v/>
      </c>
    </row>
    <row r="818">
      <c r="A818" t="inlineStr">
        <is>
          <t>EMD-13524</t>
        </is>
      </c>
      <c r="B818" t="inlineStr">
        <is>
          <t>non-amyloid</t>
        </is>
      </c>
      <c r="C818" t="n">
        <v>3.5</v>
      </c>
      <c r="D818" t="inlineStr"/>
      <c r="E818" t="inlineStr"/>
      <c r="F818" t="inlineStr"/>
      <c r="G818" t="inlineStr"/>
      <c r="H818" t="inlineStr"/>
      <c r="I818" t="inlineStr">
        <is>
          <t>Cnan</t>
        </is>
      </c>
      <c r="J818" t="inlineStr"/>
      <c r="K818" t="inlineStr">
        <is>
          <t> </t>
        </is>
      </c>
      <c r="L818" t="inlineStr"/>
      <c r="M818" t="inlineStr"/>
      <c r="N818" t="inlineStr">
        <is>
          <t>No</t>
        </is>
      </c>
      <c r="O818" t="inlineStr"/>
      <c r="P818" t="inlineStr">
        <is>
          <t>single unit</t>
        </is>
      </c>
      <c r="Q818" t="inlineStr"/>
      <c r="R818" t="inlineStr"/>
      <c r="S818" t="inlineStr"/>
    </row>
    <row r="819">
      <c r="A819" t="inlineStr">
        <is>
          <t>EMD-13523</t>
        </is>
      </c>
      <c r="B819" t="inlineStr">
        <is>
          <t>non-amyloid</t>
        </is>
      </c>
      <c r="C819" t="n">
        <v>3.5</v>
      </c>
      <c r="D819" t="inlineStr"/>
      <c r="E819" t="inlineStr"/>
      <c r="F819" t="inlineStr"/>
      <c r="G819" t="inlineStr"/>
      <c r="H819" t="inlineStr"/>
      <c r="I819" t="inlineStr">
        <is>
          <t>Cnan</t>
        </is>
      </c>
      <c r="J819" t="inlineStr"/>
      <c r="K819" t="inlineStr">
        <is>
          <t> </t>
        </is>
      </c>
      <c r="L819" t="inlineStr"/>
      <c r="M819" t="inlineStr"/>
      <c r="N819" t="inlineStr">
        <is>
          <t>No</t>
        </is>
      </c>
      <c r="O819" t="inlineStr"/>
      <c r="P819" t="inlineStr">
        <is>
          <t>single unit</t>
        </is>
      </c>
      <c r="Q819" t="inlineStr"/>
      <c r="R819" t="inlineStr"/>
      <c r="S819" t="inlineStr"/>
    </row>
    <row r="820">
      <c r="A820" t="inlineStr">
        <is>
          <t>EMD-8997</t>
        </is>
      </c>
      <c r="B820" t="inlineStr">
        <is>
          <t>microtubule</t>
        </is>
      </c>
      <c r="C820" t="n">
        <v>3.5</v>
      </c>
      <c r="D820" t="n">
        <v>9.474</v>
      </c>
      <c r="E820" t="n">
        <v>-27.66</v>
      </c>
      <c r="F820" t="inlineStr">
        <is>
          <t>C1</t>
        </is>
      </c>
      <c r="G820" t="inlineStr">
        <is>
          <t>9.427196311</t>
        </is>
      </c>
      <c r="H820" t="n">
        <v>-27.65560542</v>
      </c>
      <c r="I820" t="inlineStr">
        <is>
          <t>C1</t>
        </is>
      </c>
      <c r="J820" t="n">
        <v>0.046861808</v>
      </c>
      <c r="K820" t="inlineStr"/>
      <c r="L820" t="n">
        <v>0.73346712</v>
      </c>
      <c r="M820" t="n">
        <v>0.763291801</v>
      </c>
      <c r="N820" t="inlineStr">
        <is>
          <t>Yes</t>
        </is>
      </c>
      <c r="O820" t="inlineStr">
        <is>
          <t>improve</t>
        </is>
      </c>
      <c r="P820" t="inlineStr">
        <is>
          <t>adjusted decimals</t>
        </is>
      </c>
      <c r="Q820" t="inlineStr"/>
      <c r="R820" t="inlineStr"/>
      <c r="S820">
        <f>HYPERLINK("https://helical-indexing-hi3d.streamlit.app/?emd_id=emd-8997&amp;rise=9.427196311&amp;twist=-27.65560542&amp;csym=1&amp;rise2=9.474&amp;twist2=-27.66&amp;csym2=1", "Link")</f>
        <v/>
      </c>
    </row>
    <row r="821">
      <c r="A821" t="inlineStr">
        <is>
          <t>EMD-20719</t>
        </is>
      </c>
      <c r="B821" t="inlineStr">
        <is>
          <t>non-amyloid</t>
        </is>
      </c>
      <c r="C821" t="n">
        <v>3.5</v>
      </c>
      <c r="D821" t="n">
        <v>27.42</v>
      </c>
      <c r="E821" t="n">
        <v>-166.63</v>
      </c>
      <c r="F821" t="inlineStr">
        <is>
          <t>C1</t>
        </is>
      </c>
      <c r="G821" t="inlineStr">
        <is>
          <t>27.42</t>
        </is>
      </c>
      <c r="H821" t="n">
        <v>-166.63</v>
      </c>
      <c r="I821" t="inlineStr">
        <is>
          <t>C1</t>
        </is>
      </c>
      <c r="J821" t="n">
        <v>0</v>
      </c>
      <c r="K821" t="inlineStr"/>
      <c r="L821" t="n">
        <v>0.94137</v>
      </c>
      <c r="M821" t="n">
        <v>0.94137</v>
      </c>
      <c r="N821" t="inlineStr">
        <is>
          <t>Yes</t>
        </is>
      </c>
      <c r="O821" t="inlineStr">
        <is>
          <t>equal</t>
        </is>
      </c>
      <c r="P821" t="inlineStr">
        <is>
          <t>deposited</t>
        </is>
      </c>
      <c r="Q821" t="inlineStr"/>
      <c r="R821" t="inlineStr"/>
      <c r="S821">
        <f>HYPERLINK("https://helical-indexing-hi3d.streamlit.app/?emd_id=emd-20719&amp;rise=27.42&amp;twist=-166.63&amp;csym=1&amp;rise2=27.42&amp;twist2=-166.63&amp;csym2=1", "Link")</f>
        <v/>
      </c>
    </row>
    <row r="822">
      <c r="A822" t="inlineStr">
        <is>
          <t>EMD-8320</t>
        </is>
      </c>
      <c r="B822" t="inlineStr">
        <is>
          <t>microtubule</t>
        </is>
      </c>
      <c r="C822" t="n">
        <v>3.5</v>
      </c>
      <c r="D822" t="n">
        <v>9.380000000000001</v>
      </c>
      <c r="E822" t="n">
        <v>-27.7</v>
      </c>
      <c r="F822" t="inlineStr">
        <is>
          <t>C1</t>
        </is>
      </c>
      <c r="G822" t="inlineStr">
        <is>
          <t>9.349137886</t>
        </is>
      </c>
      <c r="H822" t="n">
        <v>-27.67822114</v>
      </c>
      <c r="I822" t="inlineStr">
        <is>
          <t>C1</t>
        </is>
      </c>
      <c r="J822" t="n">
        <v>0.032013754</v>
      </c>
      <c r="K822" t="inlineStr"/>
      <c r="L822" t="n">
        <v>0.724793463</v>
      </c>
      <c r="M822" t="n">
        <v>0.750523605</v>
      </c>
      <c r="N822" t="inlineStr">
        <is>
          <t>Yes</t>
        </is>
      </c>
      <c r="O822" t="inlineStr">
        <is>
          <t>improve</t>
        </is>
      </c>
      <c r="P822" t="inlineStr">
        <is>
          <t>adjusted decimals</t>
        </is>
      </c>
      <c r="Q822" t="inlineStr"/>
      <c r="R822" t="inlineStr"/>
      <c r="S822">
        <f>HYPERLINK("https://helical-indexing-hi3d.streamlit.app/?emd_id=emd-8320&amp;rise=9.349137886&amp;twist=-27.67822114&amp;csym=1&amp;rise2=9.38&amp;twist2=-27.7&amp;csym2=1", "Link")</f>
        <v/>
      </c>
    </row>
    <row r="823">
      <c r="A823" t="inlineStr">
        <is>
          <t>EMD-2835</t>
        </is>
      </c>
      <c r="B823" t="inlineStr">
        <is>
          <t>non-amyloid</t>
        </is>
      </c>
      <c r="C823" t="n">
        <v>3.5</v>
      </c>
      <c r="D823" t="n">
        <v>1.408</v>
      </c>
      <c r="E823" t="n">
        <v>22.03</v>
      </c>
      <c r="F823" t="inlineStr">
        <is>
          <t>C1</t>
        </is>
      </c>
      <c r="G823" t="inlineStr">
        <is>
          <t>1.408</t>
        </is>
      </c>
      <c r="H823" t="n">
        <v>22.03</v>
      </c>
      <c r="I823" t="inlineStr">
        <is>
          <t>C1</t>
        </is>
      </c>
      <c r="J823" t="n">
        <v>0</v>
      </c>
      <c r="K823" t="inlineStr"/>
      <c r="L823" t="n">
        <v>0.99515</v>
      </c>
      <c r="M823" t="n">
        <v>0.99515</v>
      </c>
      <c r="N823" t="inlineStr">
        <is>
          <t>Yes</t>
        </is>
      </c>
      <c r="O823" t="inlineStr">
        <is>
          <t>equal</t>
        </is>
      </c>
      <c r="P823" t="inlineStr">
        <is>
          <t>deposited</t>
        </is>
      </c>
      <c r="Q823" t="inlineStr"/>
      <c r="R823" t="inlineStr"/>
      <c r="S823">
        <f>HYPERLINK("https://helical-indexing-hi3d.streamlit.app/?emd_id=emd-2835&amp;rise=1.408&amp;twist=22.03&amp;csym=1&amp;rise2=1.408&amp;twist2=22.03&amp;csym2=1", "Link")</f>
        <v/>
      </c>
    </row>
    <row r="824">
      <c r="A824" t="inlineStr">
        <is>
          <t>EMD-6270</t>
        </is>
      </c>
      <c r="B824" t="inlineStr">
        <is>
          <t>non-amyloid</t>
        </is>
      </c>
      <c r="C824" t="n">
        <v>3.5</v>
      </c>
      <c r="D824" t="n">
        <v>38.4</v>
      </c>
      <c r="E824" t="n">
        <v>18.3</v>
      </c>
      <c r="F824" t="inlineStr">
        <is>
          <t>C6</t>
        </is>
      </c>
      <c r="G824" t="inlineStr">
        <is>
          <t>38.4</t>
        </is>
      </c>
      <c r="H824" t="n">
        <v>18.3</v>
      </c>
      <c r="I824" t="inlineStr">
        <is>
          <t>C6</t>
        </is>
      </c>
      <c r="J824" t="n">
        <v>0</v>
      </c>
      <c r="K824" t="inlineStr"/>
      <c r="L824" t="n">
        <v>0.969204941</v>
      </c>
      <c r="M824" t="n">
        <v>0.969204941</v>
      </c>
      <c r="N824" t="inlineStr">
        <is>
          <t>Yes</t>
        </is>
      </c>
      <c r="O824" t="inlineStr">
        <is>
          <t>equal</t>
        </is>
      </c>
      <c r="P824" t="inlineStr">
        <is>
          <t>deposited</t>
        </is>
      </c>
      <c r="Q824" t="inlineStr"/>
      <c r="R824" t="inlineStr"/>
      <c r="S824">
        <f>HYPERLINK("https://helical-indexing-hi3d.streamlit.app/?emd_id=emd-6270&amp;rise=38.4&amp;twist=18.3&amp;csym=6&amp;rise2=38.4&amp;twist2=18.3&amp;csym2=6", "Link")</f>
        <v/>
      </c>
    </row>
    <row r="825">
      <c r="A825" t="inlineStr">
        <is>
          <t>EMD-13504</t>
        </is>
      </c>
      <c r="B825" t="inlineStr">
        <is>
          <t>non-amyloid</t>
        </is>
      </c>
      <c r="C825" t="n">
        <v>3.5</v>
      </c>
      <c r="D825" t="inlineStr"/>
      <c r="E825" t="inlineStr"/>
      <c r="F825" t="inlineStr"/>
      <c r="G825" t="inlineStr">
        <is>
          <t>54.43</t>
        </is>
      </c>
      <c r="H825" t="n">
        <v>166.11</v>
      </c>
      <c r="I825" t="inlineStr">
        <is>
          <t>C1</t>
        </is>
      </c>
      <c r="J825" t="inlineStr"/>
      <c r="K825" t="inlineStr">
        <is>
          <t> </t>
        </is>
      </c>
      <c r="L825" t="inlineStr"/>
      <c r="M825" t="inlineStr"/>
      <c r="N825" t="inlineStr">
        <is>
          <t>No</t>
        </is>
      </c>
      <c r="O825" t="inlineStr"/>
      <c r="P825" t="inlineStr">
        <is>
          <t>single unit</t>
        </is>
      </c>
      <c r="Q825" t="inlineStr"/>
      <c r="R825" t="inlineStr"/>
      <c r="S825" t="inlineStr"/>
    </row>
    <row r="826">
      <c r="A826" t="inlineStr">
        <is>
          <t>EMD-18132</t>
        </is>
      </c>
      <c r="B826" t="inlineStr">
        <is>
          <t>non-amyloid</t>
        </is>
      </c>
      <c r="C826" t="n">
        <v>3.5</v>
      </c>
      <c r="D826" t="n">
        <v>10.76</v>
      </c>
      <c r="E826" t="n">
        <v>54.26</v>
      </c>
      <c r="F826" t="inlineStr">
        <is>
          <t>C1</t>
        </is>
      </c>
      <c r="G826" t="inlineStr">
        <is>
          <t>10.69872893</t>
        </is>
      </c>
      <c r="H826" t="n">
        <v>-54.15943568</v>
      </c>
      <c r="I826" t="inlineStr">
        <is>
          <t>C1</t>
        </is>
      </c>
      <c r="J826" t="n">
        <v>51.97918369</v>
      </c>
      <c r="K826" t="inlineStr">
        <is>
          <t> </t>
        </is>
      </c>
      <c r="L826" t="n">
        <v>0.447297321</v>
      </c>
      <c r="M826" t="n">
        <v>0.815584674</v>
      </c>
      <c r="N826" t="inlineStr">
        <is>
          <t>Yes</t>
        </is>
      </c>
      <c r="O826" t="inlineStr">
        <is>
          <t>improve</t>
        </is>
      </c>
      <c r="P826" t="inlineStr">
        <is>
          <t>twist sign</t>
        </is>
      </c>
      <c r="Q826" t="inlineStr"/>
      <c r="R826" t="inlineStr"/>
      <c r="S826">
        <f>HYPERLINK("https://helical-indexing-hi3d.streamlit.app/?emd_id=emd-18132&amp;rise=10.69872893&amp;twist=-54.15943568&amp;csym=1&amp;rise2=10.76&amp;twist2=54.26&amp;csym2=1", "Link")</f>
        <v/>
      </c>
    </row>
    <row r="827">
      <c r="A827" t="inlineStr">
        <is>
          <t>EMD-13509</t>
        </is>
      </c>
      <c r="B827" t="inlineStr">
        <is>
          <t>non-amyloid</t>
        </is>
      </c>
      <c r="C827" t="n">
        <v>3.5</v>
      </c>
      <c r="D827" t="inlineStr"/>
      <c r="E827" t="inlineStr"/>
      <c r="F827" t="inlineStr"/>
      <c r="G827" t="inlineStr"/>
      <c r="H827" t="inlineStr"/>
      <c r="I827" t="inlineStr">
        <is>
          <t>Cnan</t>
        </is>
      </c>
      <c r="J827" t="inlineStr"/>
      <c r="K827" t="inlineStr">
        <is>
          <t> </t>
        </is>
      </c>
      <c r="L827" t="inlineStr"/>
      <c r="M827" t="inlineStr"/>
      <c r="N827" t="inlineStr">
        <is>
          <t>No</t>
        </is>
      </c>
      <c r="O827" t="inlineStr"/>
      <c r="P827" t="inlineStr">
        <is>
          <t>single unit</t>
        </is>
      </c>
      <c r="Q827" t="inlineStr"/>
      <c r="R827" t="inlineStr"/>
      <c r="S827" t="inlineStr"/>
    </row>
    <row r="828">
      <c r="A828" t="inlineStr">
        <is>
          <t>EMD-7975</t>
        </is>
      </c>
      <c r="B828" t="inlineStr">
        <is>
          <t>microtubule</t>
        </is>
      </c>
      <c r="C828" t="n">
        <v>3.5</v>
      </c>
      <c r="D828" t="n">
        <v>8.757</v>
      </c>
      <c r="E828" t="n">
        <v>-25.774</v>
      </c>
      <c r="F828" t="inlineStr">
        <is>
          <t>C1</t>
        </is>
      </c>
      <c r="G828" t="inlineStr">
        <is>
          <t>81.7</t>
        </is>
      </c>
      <c r="H828" t="n">
        <v>-0.5600000000000001</v>
      </c>
      <c r="I828" t="inlineStr">
        <is>
          <t>C1</t>
        </is>
      </c>
      <c r="J828" t="n">
        <v>73.23648921</v>
      </c>
      <c r="K828" t="inlineStr"/>
      <c r="L828" t="n">
        <v>0.665351933</v>
      </c>
      <c r="M828" t="n">
        <v>0.750773456</v>
      </c>
      <c r="N828" t="inlineStr">
        <is>
          <t>Yes</t>
        </is>
      </c>
      <c r="O828" t="inlineStr">
        <is>
          <t>improve</t>
        </is>
      </c>
      <c r="P828" t="inlineStr">
        <is>
          <t>paper mismatch</t>
        </is>
      </c>
      <c r="Q828" t="inlineStr"/>
      <c r="R828" t="inlineStr"/>
      <c r="S828">
        <f>HYPERLINK("https://helical-indexing-hi3d.streamlit.app/?emd_id=emd-7975&amp;rise=81.7&amp;twist=-0.56&amp;csym=1&amp;rise2=8.757&amp;twist2=-25.774&amp;csym2=1", "Link")</f>
        <v/>
      </c>
    </row>
    <row r="829">
      <c r="A829" t="inlineStr">
        <is>
          <t>EMD-2836</t>
        </is>
      </c>
      <c r="B829" t="inlineStr">
        <is>
          <t>non-amyloid</t>
        </is>
      </c>
      <c r="C829" t="n">
        <v>3.5</v>
      </c>
      <c r="D829" t="n">
        <v>1.408</v>
      </c>
      <c r="E829" t="n">
        <v>22.03</v>
      </c>
      <c r="F829" t="inlineStr">
        <is>
          <t>C1</t>
        </is>
      </c>
      <c r="G829" t="inlineStr">
        <is>
          <t>1.408</t>
        </is>
      </c>
      <c r="H829" t="n">
        <v>22.03</v>
      </c>
      <c r="I829" t="inlineStr">
        <is>
          <t>C1</t>
        </is>
      </c>
      <c r="J829" t="n">
        <v>0</v>
      </c>
      <c r="K829" t="inlineStr"/>
      <c r="L829" t="n">
        <v>0.99487</v>
      </c>
      <c r="M829" t="n">
        <v>0.99487</v>
      </c>
      <c r="N829" t="inlineStr">
        <is>
          <t>Yes</t>
        </is>
      </c>
      <c r="O829" t="inlineStr">
        <is>
          <t>equal</t>
        </is>
      </c>
      <c r="P829" t="inlineStr">
        <is>
          <t>deposited</t>
        </is>
      </c>
      <c r="Q829" t="inlineStr"/>
      <c r="R829" t="inlineStr"/>
      <c r="S829">
        <f>HYPERLINK("https://helical-indexing-hi3d.streamlit.app/?emd_id=emd-2836&amp;rise=1.408&amp;twist=22.03&amp;csym=1&amp;rise2=1.408&amp;twist2=22.03&amp;csym2=1", "Link")</f>
        <v/>
      </c>
    </row>
    <row r="830">
      <c r="A830" t="inlineStr">
        <is>
          <t>EMD-8322</t>
        </is>
      </c>
      <c r="B830" t="inlineStr">
        <is>
          <t>microtubule</t>
        </is>
      </c>
      <c r="C830" t="n">
        <v>3.5</v>
      </c>
      <c r="D830" t="n">
        <v>9.48</v>
      </c>
      <c r="E830" t="n">
        <v>-27.7</v>
      </c>
      <c r="F830" t="inlineStr">
        <is>
          <t>C1</t>
        </is>
      </c>
      <c r="G830" t="inlineStr">
        <is>
          <t>9.448043488</t>
        </is>
      </c>
      <c r="H830" t="n">
        <v>-27.68689406</v>
      </c>
      <c r="I830" t="inlineStr">
        <is>
          <t>C1</t>
        </is>
      </c>
      <c r="J830" t="n">
        <v>0.032395489687436</v>
      </c>
      <c r="K830" t="inlineStr"/>
      <c r="L830" t="n">
        <v>0.75231677</v>
      </c>
      <c r="M830" t="n">
        <v>0.769861622</v>
      </c>
      <c r="N830" t="inlineStr">
        <is>
          <t>Yes</t>
        </is>
      </c>
      <c r="O830" t="inlineStr">
        <is>
          <t>improve</t>
        </is>
      </c>
      <c r="P830" t="inlineStr">
        <is>
          <t>adjusted decimals</t>
        </is>
      </c>
      <c r="Q830" t="inlineStr"/>
      <c r="R830" t="inlineStr"/>
      <c r="S830">
        <f>HYPERLINK("https://helical-indexing-hi3d.streamlit.app/?emd_id=emd-8322&amp;rise=9.448043488&amp;twist=-27.68689406&amp;csym=1&amp;rise2=9.48&amp;twist2=-27.7&amp;csym2=1", "Link")</f>
        <v/>
      </c>
    </row>
    <row r="831">
      <c r="A831" t="inlineStr">
        <is>
          <t>EMD-17049</t>
        </is>
      </c>
      <c r="B831" t="inlineStr">
        <is>
          <t>non-amyloid</t>
        </is>
      </c>
      <c r="C831" t="n">
        <v>3.5</v>
      </c>
      <c r="D831" t="n">
        <v>43.29</v>
      </c>
      <c r="E831" t="n">
        <v>15.04</v>
      </c>
      <c r="F831" t="inlineStr">
        <is>
          <t>C8</t>
        </is>
      </c>
      <c r="G831" t="inlineStr"/>
      <c r="H831" t="n">
        <v>166.11</v>
      </c>
      <c r="I831" t="inlineStr">
        <is>
          <t>C8</t>
        </is>
      </c>
      <c r="J831" t="inlineStr"/>
      <c r="K831" t="inlineStr"/>
      <c r="L831" t="n">
        <v>0.00417</v>
      </c>
      <c r="M831" t="n">
        <v>0.004160633</v>
      </c>
      <c r="N831" t="inlineStr">
        <is>
          <t>Excluded</t>
        </is>
      </c>
      <c r="O831" t="inlineStr">
        <is>
          <t>worse</t>
        </is>
      </c>
      <c r="P831" t="inlineStr">
        <is>
          <t>focus reconstruction</t>
        </is>
      </c>
      <c r="Q831" t="inlineStr"/>
      <c r="R831" t="inlineStr"/>
      <c r="S831">
        <f>HYPERLINK("https://helical-indexing-hi3d.streamlit.app/?emd_id=emd-17049&amp;rise=nan&amp;twist=166.11&amp;csym=8&amp;rise2=43.29&amp;twist2=15.04&amp;csym2=8", "Link")</f>
        <v/>
      </c>
    </row>
    <row r="832">
      <c r="A832" t="inlineStr">
        <is>
          <t>EMD-13503</t>
        </is>
      </c>
      <c r="B832" t="inlineStr">
        <is>
          <t>non-amyloid</t>
        </is>
      </c>
      <c r="C832" t="n">
        <v>3.5</v>
      </c>
      <c r="D832" t="inlineStr"/>
      <c r="E832" t="inlineStr"/>
      <c r="F832" t="inlineStr"/>
      <c r="G832" t="inlineStr"/>
      <c r="H832" t="inlineStr"/>
      <c r="I832" t="inlineStr">
        <is>
          <t>Cnan</t>
        </is>
      </c>
      <c r="J832" t="inlineStr"/>
      <c r="K832" t="inlineStr">
        <is>
          <t> </t>
        </is>
      </c>
      <c r="L832" t="inlineStr"/>
      <c r="M832" t="inlineStr"/>
      <c r="N832" t="inlineStr">
        <is>
          <t>No</t>
        </is>
      </c>
      <c r="O832" t="inlineStr"/>
      <c r="P832" t="inlineStr">
        <is>
          <t>single unit</t>
        </is>
      </c>
      <c r="Q832" t="inlineStr"/>
      <c r="R832" t="inlineStr"/>
      <c r="S832" t="inlineStr"/>
    </row>
    <row r="833">
      <c r="A833" t="inlineStr">
        <is>
          <t>EMD-8321</t>
        </is>
      </c>
      <c r="B833" t="inlineStr">
        <is>
          <t>microtubule</t>
        </is>
      </c>
      <c r="C833" t="n">
        <v>3.5</v>
      </c>
      <c r="D833" t="n">
        <v>9.43</v>
      </c>
      <c r="E833" t="n">
        <v>-27.7</v>
      </c>
      <c r="F833" t="inlineStr">
        <is>
          <t>C1</t>
        </is>
      </c>
      <c r="G833" t="inlineStr">
        <is>
          <t>9.392770303</t>
        </is>
      </c>
      <c r="H833" t="n">
        <v>-27.68331191</v>
      </c>
      <c r="I833" t="inlineStr">
        <is>
          <t>C1</t>
        </is>
      </c>
      <c r="J833" t="n">
        <v>0.037805158</v>
      </c>
      <c r="K833" t="inlineStr"/>
      <c r="L833" t="n">
        <v>0.753500972</v>
      </c>
      <c r="M833" t="n">
        <v>0.775267678</v>
      </c>
      <c r="N833" t="inlineStr">
        <is>
          <t>Yes</t>
        </is>
      </c>
      <c r="O833" t="inlineStr">
        <is>
          <t>improve</t>
        </is>
      </c>
      <c r="P833" t="inlineStr">
        <is>
          <t>adjusted decimals</t>
        </is>
      </c>
      <c r="Q833" t="inlineStr"/>
      <c r="R833" t="inlineStr"/>
      <c r="S833">
        <f>HYPERLINK("https://helical-indexing-hi3d.streamlit.app/?emd_id=emd-8321&amp;rise=9.392770303&amp;twist=-27.68331191&amp;csym=1&amp;rise2=9.43&amp;twist2=-27.7&amp;csym2=1", "Link")</f>
        <v/>
      </c>
    </row>
    <row r="834">
      <c r="A834" t="inlineStr">
        <is>
          <t>EMD-41815</t>
        </is>
      </c>
      <c r="B834" t="inlineStr">
        <is>
          <t>non-amyloid</t>
        </is>
      </c>
      <c r="C834" t="n">
        <v>3.5</v>
      </c>
      <c r="D834" t="n">
        <v>4.915</v>
      </c>
      <c r="E834" t="n">
        <v>102.831</v>
      </c>
      <c r="F834" t="inlineStr">
        <is>
          <t>C1</t>
        </is>
      </c>
      <c r="G834" t="inlineStr">
        <is>
          <t>4.915</t>
        </is>
      </c>
      <c r="H834" t="n">
        <v>102.831</v>
      </c>
      <c r="I834" t="inlineStr">
        <is>
          <t>C1</t>
        </is>
      </c>
      <c r="J834" t="n">
        <v>0</v>
      </c>
      <c r="K834" t="inlineStr"/>
      <c r="L834" t="n">
        <v>0.84082</v>
      </c>
      <c r="M834" t="n">
        <v>0.84082</v>
      </c>
      <c r="N834" t="inlineStr">
        <is>
          <t>Yes</t>
        </is>
      </c>
      <c r="O834" t="inlineStr">
        <is>
          <t>equal</t>
        </is>
      </c>
      <c r="P834" t="inlineStr">
        <is>
          <t>deposited</t>
        </is>
      </c>
      <c r="Q834" t="inlineStr"/>
      <c r="R834" t="inlineStr"/>
      <c r="S834">
        <f>HYPERLINK("https://helical-indexing-hi3d.streamlit.app/?emd_id=emd-41815&amp;rise=4.915&amp;twist=102.831&amp;csym=1&amp;rise2=4.915&amp;twist2=102.831&amp;csym2=1", "Link")</f>
        <v/>
      </c>
    </row>
    <row r="835">
      <c r="A835" t="inlineStr">
        <is>
          <t>EMD-8179</t>
        </is>
      </c>
      <c r="B835" t="inlineStr">
        <is>
          <t>non-amyloid</t>
        </is>
      </c>
      <c r="C835" t="n">
        <v>3.5</v>
      </c>
      <c r="D835" t="n">
        <v>4.185</v>
      </c>
      <c r="E835" t="n">
        <v>64.34</v>
      </c>
      <c r="F835" t="inlineStr">
        <is>
          <t>C1</t>
        </is>
      </c>
      <c r="G835" t="inlineStr">
        <is>
          <t>4.18556203</t>
        </is>
      </c>
      <c r="H835" t="n">
        <v>64.32393553</v>
      </c>
      <c r="I835" t="inlineStr">
        <is>
          <t>C1</t>
        </is>
      </c>
      <c r="J835" t="n">
        <v>0.0174142570528359</v>
      </c>
      <c r="K835" t="inlineStr"/>
      <c r="L835" t="n">
        <v>0.79833</v>
      </c>
      <c r="M835" t="n">
        <v>0.809056266</v>
      </c>
      <c r="N835" t="inlineStr">
        <is>
          <t>Yes</t>
        </is>
      </c>
      <c r="O835" t="inlineStr">
        <is>
          <t>improve</t>
        </is>
      </c>
      <c r="P835" t="inlineStr">
        <is>
          <t>adjusted decimals</t>
        </is>
      </c>
      <c r="Q835" t="inlineStr"/>
      <c r="R835" t="inlineStr"/>
      <c r="S835">
        <f>HYPERLINK("https://helical-indexing-hi3d.streamlit.app/?emd_id=emd-8179&amp;rise=4.18556203&amp;twist=64.32393553&amp;csym=1&amp;rise2=4.185&amp;twist2=64.34&amp;csym2=1", "Link")</f>
        <v/>
      </c>
    </row>
    <row r="836">
      <c r="A836" t="inlineStr">
        <is>
          <t>EMD-2699</t>
        </is>
      </c>
      <c r="B836" t="inlineStr">
        <is>
          <t>non-amyloid</t>
        </is>
      </c>
      <c r="C836" t="n">
        <v>3.5</v>
      </c>
      <c r="D836" t="n">
        <v>21.8</v>
      </c>
      <c r="E836" t="n">
        <v>29.4</v>
      </c>
      <c r="F836" t="inlineStr">
        <is>
          <t>C6</t>
        </is>
      </c>
      <c r="G836" t="inlineStr">
        <is>
          <t>21.8</t>
        </is>
      </c>
      <c r="H836" t="n">
        <v>29.4</v>
      </c>
      <c r="I836" t="inlineStr">
        <is>
          <t>C6</t>
        </is>
      </c>
      <c r="J836" t="n">
        <v>0</v>
      </c>
      <c r="K836" t="inlineStr"/>
      <c r="L836" t="n">
        <v>0.963571855</v>
      </c>
      <c r="M836" t="n">
        <v>0.963571855</v>
      </c>
      <c r="N836" t="inlineStr">
        <is>
          <t>Yes</t>
        </is>
      </c>
      <c r="O836" t="inlineStr">
        <is>
          <t>equal</t>
        </is>
      </c>
      <c r="P836" t="inlineStr">
        <is>
          <t>deposited</t>
        </is>
      </c>
      <c r="Q836" t="inlineStr"/>
      <c r="R836" t="inlineStr"/>
      <c r="S836">
        <f>HYPERLINK("https://helical-indexing-hi3d.streamlit.app/?emd_id=emd-2699&amp;rise=21.8&amp;twist=29.4&amp;csym=6&amp;rise2=21.8&amp;twist2=29.4&amp;csym2=6", "Link")</f>
        <v/>
      </c>
    </row>
    <row r="837">
      <c r="A837" t="inlineStr">
        <is>
          <t>EMD-2837</t>
        </is>
      </c>
      <c r="B837" t="inlineStr">
        <is>
          <t>non-amyloid</t>
        </is>
      </c>
      <c r="C837" t="n">
        <v>3.5</v>
      </c>
      <c r="D837" t="n">
        <v>1.408</v>
      </c>
      <c r="E837" t="n">
        <v>22.03</v>
      </c>
      <c r="F837" t="inlineStr">
        <is>
          <t>C1</t>
        </is>
      </c>
      <c r="G837" t="inlineStr">
        <is>
          <t>1.408</t>
        </is>
      </c>
      <c r="H837" t="n">
        <v>22.03</v>
      </c>
      <c r="I837" t="inlineStr">
        <is>
          <t>C1</t>
        </is>
      </c>
      <c r="J837" t="n">
        <v>0</v>
      </c>
      <c r="K837" t="inlineStr"/>
      <c r="L837" t="n">
        <v>0.99522</v>
      </c>
      <c r="M837" t="n">
        <v>0.99522</v>
      </c>
      <c r="N837" t="inlineStr">
        <is>
          <t>Yes</t>
        </is>
      </c>
      <c r="O837" t="inlineStr">
        <is>
          <t>equal</t>
        </is>
      </c>
      <c r="P837" t="inlineStr">
        <is>
          <t>deposited</t>
        </is>
      </c>
      <c r="Q837" t="inlineStr"/>
      <c r="R837" t="inlineStr"/>
      <c r="S837">
        <f>HYPERLINK("https://helical-indexing-hi3d.streamlit.app/?emd_id=emd-2837&amp;rise=1.408&amp;twist=22.03&amp;csym=1&amp;rise2=1.408&amp;twist2=22.03&amp;csym2=1", "Link")</f>
        <v/>
      </c>
    </row>
    <row r="838">
      <c r="A838" t="inlineStr">
        <is>
          <t>EMD-11275</t>
        </is>
      </c>
      <c r="B838" t="inlineStr">
        <is>
          <t>non-amyloid</t>
        </is>
      </c>
      <c r="C838" t="n">
        <v>3.5</v>
      </c>
      <c r="D838" t="n">
        <v>10.35</v>
      </c>
      <c r="E838" t="n">
        <v>62.99764</v>
      </c>
      <c r="F838" t="inlineStr">
        <is>
          <t>D2</t>
        </is>
      </c>
      <c r="G838" t="inlineStr">
        <is>
          <t>10.32953438</t>
        </is>
      </c>
      <c r="H838" t="n">
        <v>63.00330593</v>
      </c>
      <c r="I838" t="inlineStr">
        <is>
          <t>CD2</t>
        </is>
      </c>
      <c r="J838" t="n">
        <v>0.020531989</v>
      </c>
      <c r="K838" t="inlineStr"/>
      <c r="L838" t="n">
        <v>0.92279</v>
      </c>
      <c r="M838" t="n">
        <v>0.9261392470000001</v>
      </c>
      <c r="N838" t="inlineStr">
        <is>
          <t>Yes</t>
        </is>
      </c>
      <c r="O838" t="inlineStr">
        <is>
          <t>improve</t>
        </is>
      </c>
      <c r="P838" t="inlineStr">
        <is>
          <t>adjusted decimals</t>
        </is>
      </c>
      <c r="Q838" t="inlineStr"/>
      <c r="R838" t="inlineStr"/>
      <c r="S838">
        <f>HYPERLINK("https://helical-indexing-hi3d.streamlit.app/?emd_id=emd-11275&amp;rise=10.32953438&amp;twist=63.00330593&amp;csym=D2&amp;rise2=10.35&amp;twist2=62.99764&amp;csym2=2", "Link")</f>
        <v/>
      </c>
    </row>
    <row r="839">
      <c r="A839" t="inlineStr">
        <is>
          <t>EMD-33009</t>
        </is>
      </c>
      <c r="B839" t="inlineStr">
        <is>
          <t>non-amyloid</t>
        </is>
      </c>
      <c r="C839" t="n">
        <v>3.5</v>
      </c>
      <c r="D839" t="n">
        <v>23.2</v>
      </c>
      <c r="E839" t="n">
        <v>167.8</v>
      </c>
      <c r="F839" t="inlineStr">
        <is>
          <t>C1</t>
        </is>
      </c>
      <c r="G839" t="inlineStr">
        <is>
          <t>22.26622187</t>
        </is>
      </c>
      <c r="H839" t="n">
        <v>167.7360159</v>
      </c>
      <c r="I839" t="inlineStr">
        <is>
          <t>C1</t>
        </is>
      </c>
      <c r="J839" t="n">
        <v>0.9339959850853304</v>
      </c>
      <c r="K839" t="inlineStr"/>
      <c r="L839" t="n">
        <v>0.63092</v>
      </c>
      <c r="M839" t="n">
        <v>0.998195034</v>
      </c>
      <c r="N839" t="inlineStr">
        <is>
          <t>Yes</t>
        </is>
      </c>
      <c r="O839" t="inlineStr">
        <is>
          <t>improve</t>
        </is>
      </c>
      <c r="P839" t="inlineStr">
        <is>
          <t>adjusted decimals</t>
        </is>
      </c>
      <c r="Q839" t="inlineStr"/>
      <c r="R839" t="inlineStr"/>
      <c r="S839">
        <f>HYPERLINK("https://helical-indexing-hi3d.streamlit.app/?emd_id=emd-33009&amp;rise=22.26622187&amp;twist=167.7360159&amp;csym=1&amp;rise2=23.2&amp;twist2=167.8&amp;csym2=1", "Link")</f>
        <v/>
      </c>
    </row>
    <row r="840">
      <c r="A840" t="inlineStr">
        <is>
          <t>EMD-22088</t>
        </is>
      </c>
      <c r="B840" t="inlineStr">
        <is>
          <t>non-amyloid</t>
        </is>
      </c>
      <c r="C840" t="n">
        <v>3.5</v>
      </c>
      <c r="D840" t="n">
        <v>4.8</v>
      </c>
      <c r="E840" t="n">
        <v>65.31999999999999</v>
      </c>
      <c r="F840" t="inlineStr">
        <is>
          <t>C1</t>
        </is>
      </c>
      <c r="G840" t="inlineStr">
        <is>
          <t>4.799420178</t>
        </is>
      </c>
      <c r="H840" t="n">
        <v>65.32714735</v>
      </c>
      <c r="I840" t="inlineStr">
        <is>
          <t>C1</t>
        </is>
      </c>
      <c r="J840" t="n">
        <v>0.004506467</v>
      </c>
      <c r="K840" t="inlineStr"/>
      <c r="L840" t="n">
        <v>0.982231887</v>
      </c>
      <c r="M840" t="n">
        <v>0.991560215</v>
      </c>
      <c r="N840" t="inlineStr">
        <is>
          <t>Yes</t>
        </is>
      </c>
      <c r="O840" t="inlineStr">
        <is>
          <t>improve</t>
        </is>
      </c>
      <c r="P840" t="inlineStr">
        <is>
          <t>adjusted decimals</t>
        </is>
      </c>
      <c r="Q840" t="inlineStr"/>
      <c r="R840" t="inlineStr"/>
      <c r="S840">
        <f>HYPERLINK("https://helical-indexing-hi3d.streamlit.app/?emd_id=emd-22088&amp;rise=4.799420178&amp;twist=65.32714735&amp;csym=1&amp;rise2=4.8&amp;twist2=65.32&amp;csym2=1", "Link")</f>
        <v/>
      </c>
    </row>
    <row r="841">
      <c r="A841" t="inlineStr">
        <is>
          <t>EMD-13781</t>
        </is>
      </c>
      <c r="B841" t="inlineStr">
        <is>
          <t>non-amyloid</t>
        </is>
      </c>
      <c r="C841" t="n">
        <v>3.5</v>
      </c>
      <c r="D841" t="n">
        <v>1.408</v>
      </c>
      <c r="E841" t="n">
        <v>22.03</v>
      </c>
      <c r="F841" t="inlineStr">
        <is>
          <t>C1</t>
        </is>
      </c>
      <c r="G841" t="inlineStr">
        <is>
          <t>1.408</t>
        </is>
      </c>
      <c r="H841" t="n">
        <v>22.03</v>
      </c>
      <c r="I841" t="inlineStr">
        <is>
          <t>C1</t>
        </is>
      </c>
      <c r="J841" t="n">
        <v>0</v>
      </c>
      <c r="K841" t="inlineStr"/>
      <c r="L841" t="n">
        <v>0.94384</v>
      </c>
      <c r="M841" t="n">
        <v>0.94384</v>
      </c>
      <c r="N841" t="inlineStr">
        <is>
          <t>Yes</t>
        </is>
      </c>
      <c r="O841" t="inlineStr">
        <is>
          <t>equal</t>
        </is>
      </c>
      <c r="P841" t="inlineStr">
        <is>
          <t>deposited</t>
        </is>
      </c>
      <c r="Q841" t="inlineStr"/>
      <c r="R841" t="inlineStr"/>
      <c r="S841">
        <f>HYPERLINK("https://helical-indexing-hi3d.streamlit.app/?emd_id=emd-13781&amp;rise=1.408&amp;twist=22.03&amp;csym=1&amp;rise2=1.408&amp;twist2=22.03&amp;csym2=1", "Link")</f>
        <v/>
      </c>
    </row>
    <row r="842">
      <c r="A842" t="inlineStr">
        <is>
          <t>EMD-6348</t>
        </is>
      </c>
      <c r="B842" t="inlineStr">
        <is>
          <t>microtubule</t>
        </is>
      </c>
      <c r="C842" t="n">
        <v>3.5</v>
      </c>
      <c r="D842" t="n">
        <v>9.449999999999999</v>
      </c>
      <c r="E842" t="n">
        <v>27.72</v>
      </c>
      <c r="F842" t="inlineStr">
        <is>
          <t>C1</t>
        </is>
      </c>
      <c r="G842" t="inlineStr">
        <is>
          <t>81.69</t>
        </is>
      </c>
      <c r="H842" t="n">
        <v>-0.28</v>
      </c>
      <c r="I842" t="inlineStr">
        <is>
          <t>C1</t>
        </is>
      </c>
      <c r="J842" t="n">
        <v>73.23760405</v>
      </c>
      <c r="K842" t="inlineStr"/>
      <c r="L842" t="n">
        <v>0.369911925</v>
      </c>
      <c r="M842" t="n">
        <v>0.892135627</v>
      </c>
      <c r="N842" t="inlineStr">
        <is>
          <t>Yes</t>
        </is>
      </c>
      <c r="O842" t="inlineStr">
        <is>
          <t>improve</t>
        </is>
      </c>
      <c r="P842" t="inlineStr">
        <is>
          <t>different</t>
        </is>
      </c>
      <c r="Q842" t="inlineStr">
        <is>
          <t>wrong</t>
        </is>
      </c>
      <c r="R842" t="inlineStr"/>
      <c r="S842">
        <f>HYPERLINK("https://helical-indexing-hi3d.streamlit.app/?emd_id=emd-6348&amp;rise=81.69&amp;twist=-0.28&amp;csym=1&amp;rise2=9.45&amp;twist2=27.72&amp;csym2=1", "Link")</f>
        <v/>
      </c>
    </row>
    <row r="843">
      <c r="A843" t="inlineStr">
        <is>
          <t>EMD-23487</t>
        </is>
      </c>
      <c r="B843" t="inlineStr">
        <is>
          <t>non-amyloid</t>
        </is>
      </c>
      <c r="C843" t="n">
        <v>3.5</v>
      </c>
      <c r="D843" t="n">
        <v>3.95</v>
      </c>
      <c r="E843" t="n">
        <v>-6.4</v>
      </c>
      <c r="F843" t="inlineStr">
        <is>
          <t>C5</t>
        </is>
      </c>
      <c r="G843" t="inlineStr">
        <is>
          <t>3.95</t>
        </is>
      </c>
      <c r="H843" t="n">
        <v>-6.4</v>
      </c>
      <c r="I843" t="inlineStr">
        <is>
          <t>C5</t>
        </is>
      </c>
      <c r="J843" t="n">
        <v>0</v>
      </c>
      <c r="K843" t="inlineStr"/>
      <c r="L843" t="n">
        <v>0.98124</v>
      </c>
      <c r="M843" t="n">
        <v>0.98124</v>
      </c>
      <c r="N843" t="inlineStr">
        <is>
          <t>Yes</t>
        </is>
      </c>
      <c r="O843" t="inlineStr">
        <is>
          <t>equal</t>
        </is>
      </c>
      <c r="P843" t="inlineStr">
        <is>
          <t>deposited</t>
        </is>
      </c>
      <c r="Q843" t="inlineStr"/>
      <c r="R843" t="inlineStr"/>
      <c r="S843">
        <f>HYPERLINK("https://helical-indexing-hi3d.streamlit.app/?emd_id=emd-23487&amp;rise=3.95&amp;twist=-6.4&amp;csym=5&amp;rise2=3.95&amp;twist2=-6.4&amp;csym2=5", "Link")</f>
        <v/>
      </c>
    </row>
    <row r="844">
      <c r="A844" t="inlineStr">
        <is>
          <t>EMD-22183</t>
        </is>
      </c>
      <c r="B844" t="inlineStr">
        <is>
          <t>non-amyloid</t>
        </is>
      </c>
      <c r="C844" t="n">
        <v>3.5</v>
      </c>
      <c r="D844" t="n">
        <v>41.2</v>
      </c>
      <c r="E844" t="n">
        <v>19.7</v>
      </c>
      <c r="F844" t="inlineStr">
        <is>
          <t>C6</t>
        </is>
      </c>
      <c r="G844" t="inlineStr">
        <is>
          <t>41.2</t>
        </is>
      </c>
      <c r="H844" t="n">
        <v>19.7</v>
      </c>
      <c r="I844" t="inlineStr">
        <is>
          <t>C6</t>
        </is>
      </c>
      <c r="J844" t="n">
        <v>0</v>
      </c>
      <c r="K844" t="inlineStr"/>
      <c r="L844" t="n">
        <v>0.91965</v>
      </c>
      <c r="M844" t="n">
        <v>0.91965</v>
      </c>
      <c r="N844" t="inlineStr">
        <is>
          <t>Yes</t>
        </is>
      </c>
      <c r="O844" t="inlineStr">
        <is>
          <t>equal</t>
        </is>
      </c>
      <c r="P844" t="inlineStr">
        <is>
          <t>deposited</t>
        </is>
      </c>
      <c r="Q844" t="inlineStr"/>
      <c r="R844" t="inlineStr"/>
      <c r="S844">
        <f>HYPERLINK("https://helical-indexing-hi3d.streamlit.app/?emd_id=emd-22183&amp;rise=41.2&amp;twist=19.7&amp;csym=6&amp;rise2=41.2&amp;twist2=19.7&amp;csym2=6", "Link")</f>
        <v/>
      </c>
    </row>
    <row r="845">
      <c r="A845" t="inlineStr">
        <is>
          <t>EMD-34010</t>
        </is>
      </c>
      <c r="B845" t="inlineStr">
        <is>
          <t>non-amyloid</t>
        </is>
      </c>
      <c r="C845" t="n">
        <v>3.5</v>
      </c>
      <c r="D845" t="n">
        <v>15.105</v>
      </c>
      <c r="E845" t="n">
        <v>-108.281</v>
      </c>
      <c r="F845" t="inlineStr">
        <is>
          <t>C1</t>
        </is>
      </c>
      <c r="G845" t="inlineStr">
        <is>
          <t>15.105</t>
        </is>
      </c>
      <c r="H845" t="n">
        <v>-108.281</v>
      </c>
      <c r="I845" t="inlineStr">
        <is>
          <t>C1</t>
        </is>
      </c>
      <c r="J845" t="n">
        <v>0</v>
      </c>
      <c r="K845" t="inlineStr"/>
      <c r="L845" t="n">
        <v>0.84578</v>
      </c>
      <c r="M845" t="n">
        <v>0.84578</v>
      </c>
      <c r="N845" t="inlineStr">
        <is>
          <t>Yes</t>
        </is>
      </c>
      <c r="O845" t="inlineStr">
        <is>
          <t>equal</t>
        </is>
      </c>
      <c r="P845" t="inlineStr">
        <is>
          <t>deposited</t>
        </is>
      </c>
      <c r="Q845" t="inlineStr"/>
      <c r="R845" t="inlineStr"/>
      <c r="S845">
        <f>HYPERLINK("https://helical-indexing-hi3d.streamlit.app/?emd_id=emd-34010&amp;rise=15.105&amp;twist=-108.281&amp;csym=1&amp;rise2=15.105&amp;twist2=-108.281&amp;csym2=1", "Link")</f>
        <v/>
      </c>
    </row>
    <row r="846">
      <c r="A846" t="inlineStr">
        <is>
          <t>EMD-10588</t>
        </is>
      </c>
      <c r="B846" t="inlineStr">
        <is>
          <t>non-amyloid</t>
        </is>
      </c>
      <c r="C846" t="n">
        <v>3.5</v>
      </c>
      <c r="D846" t="n">
        <v>28.3109</v>
      </c>
      <c r="E846" t="n">
        <v>-166.901</v>
      </c>
      <c r="F846" t="inlineStr">
        <is>
          <t>C1</t>
        </is>
      </c>
      <c r="G846" t="inlineStr">
        <is>
          <t>28.35125737</t>
        </is>
      </c>
      <c r="H846" t="n">
        <v>-166.9071755</v>
      </c>
      <c r="I846" t="inlineStr">
        <is>
          <t>C1</t>
        </is>
      </c>
      <c r="J846" t="n">
        <v>0.040392775</v>
      </c>
      <c r="K846" t="inlineStr"/>
      <c r="L846" t="n">
        <v>0.95596</v>
      </c>
      <c r="M846" t="n">
        <v>0.956697256</v>
      </c>
      <c r="N846" t="inlineStr">
        <is>
          <t>Yes</t>
        </is>
      </c>
      <c r="O846" t="inlineStr">
        <is>
          <t>improve</t>
        </is>
      </c>
      <c r="P846" t="inlineStr">
        <is>
          <t>adjusted decimals</t>
        </is>
      </c>
      <c r="Q846" t="inlineStr"/>
      <c r="R846" t="inlineStr"/>
      <c r="S846">
        <f>HYPERLINK("https://helical-indexing-hi3d.streamlit.app/?emd_id=emd-10588&amp;rise=28.35125737&amp;twist=-166.9071755&amp;csym=1&amp;rise2=28.3109&amp;twist2=-166.901&amp;csym2=1", "Link")</f>
        <v/>
      </c>
    </row>
    <row r="847">
      <c r="A847" t="inlineStr">
        <is>
          <t>EMD-28716</t>
        </is>
      </c>
      <c r="B847" t="inlineStr">
        <is>
          <t>non-amyloid</t>
        </is>
      </c>
      <c r="C847" t="n">
        <v>3.5</v>
      </c>
      <c r="D847" t="n">
        <v>3</v>
      </c>
      <c r="E847" t="n">
        <v>20.01</v>
      </c>
      <c r="F847" t="inlineStr">
        <is>
          <t>C1</t>
        </is>
      </c>
      <c r="G847" t="inlineStr">
        <is>
          <t>3.009072283</t>
        </is>
      </c>
      <c r="H847" t="n">
        <v>20.01531479</v>
      </c>
      <c r="I847" t="inlineStr">
        <is>
          <t>C1</t>
        </is>
      </c>
      <c r="J847" t="n">
        <v>0.0107691747912238</v>
      </c>
      <c r="K847" t="inlineStr"/>
      <c r="L847" t="n">
        <v>0.838813181</v>
      </c>
      <c r="M847" t="n">
        <v>0.843599452</v>
      </c>
      <c r="N847" t="inlineStr">
        <is>
          <t>Yes</t>
        </is>
      </c>
      <c r="O847" t="inlineStr">
        <is>
          <t>improve</t>
        </is>
      </c>
      <c r="P847" t="inlineStr">
        <is>
          <t>adjusted decimals</t>
        </is>
      </c>
      <c r="Q847" t="inlineStr"/>
      <c r="R847" t="inlineStr"/>
      <c r="S847">
        <f>HYPERLINK("https://helical-indexing-hi3d.streamlit.app/?emd_id=emd-28716&amp;rise=3.009072283&amp;twist=20.01531479&amp;csym=1&amp;rise2=3.0&amp;twist2=20.01&amp;csym2=1", "Link")</f>
        <v/>
      </c>
    </row>
    <row r="848">
      <c r="A848" t="inlineStr">
        <is>
          <t>EMD-10501</t>
        </is>
      </c>
      <c r="B848" t="inlineStr">
        <is>
          <t>non-amyloid</t>
        </is>
      </c>
      <c r="C848" t="n">
        <v>3.5</v>
      </c>
      <c r="D848" t="n">
        <v>4.787</v>
      </c>
      <c r="E848" t="n">
        <v>77.29000000000001</v>
      </c>
      <c r="F848" t="inlineStr">
        <is>
          <t>C2</t>
        </is>
      </c>
      <c r="G848" t="inlineStr">
        <is>
          <t>4.787</t>
        </is>
      </c>
      <c r="H848" t="n">
        <v>77.29000000000001</v>
      </c>
      <c r="I848" t="inlineStr">
        <is>
          <t>C2</t>
        </is>
      </c>
      <c r="J848" t="n">
        <v>0</v>
      </c>
      <c r="K848" t="inlineStr"/>
      <c r="L848" t="n">
        <v>0.95994</v>
      </c>
      <c r="M848" t="n">
        <v>0.95994</v>
      </c>
      <c r="N848" t="inlineStr">
        <is>
          <t>Yes</t>
        </is>
      </c>
      <c r="O848" t="inlineStr">
        <is>
          <t>equal</t>
        </is>
      </c>
      <c r="P848" t="inlineStr">
        <is>
          <t>deposited</t>
        </is>
      </c>
      <c r="Q848" t="inlineStr"/>
      <c r="R848" t="inlineStr"/>
      <c r="S848">
        <f>HYPERLINK("https://helical-indexing-hi3d.streamlit.app/?emd_id=emd-10501&amp;rise=4.787&amp;twist=77.29&amp;csym=2&amp;rise2=4.787&amp;twist2=77.29&amp;csym2=2", "Link")</f>
        <v/>
      </c>
    </row>
    <row r="849">
      <c r="A849" t="inlineStr">
        <is>
          <t>EMD-28698</t>
        </is>
      </c>
      <c r="B849" t="inlineStr">
        <is>
          <t>non-amyloid</t>
        </is>
      </c>
      <c r="C849" t="n">
        <v>3.5</v>
      </c>
      <c r="D849" t="n">
        <v>3</v>
      </c>
      <c r="E849" t="n">
        <v>20</v>
      </c>
      <c r="F849" t="inlineStr">
        <is>
          <t>C1</t>
        </is>
      </c>
      <c r="G849" t="inlineStr"/>
      <c r="H849" t="inlineStr"/>
      <c r="I849" t="inlineStr">
        <is>
          <t>Cnan</t>
        </is>
      </c>
      <c r="J849" t="inlineStr"/>
      <c r="K849" t="inlineStr"/>
      <c r="L849" t="n">
        <v>0.63013131</v>
      </c>
      <c r="M849" t="n">
        <v>0.632468778</v>
      </c>
      <c r="N849" t="inlineStr">
        <is>
          <t>Excluded</t>
        </is>
      </c>
      <c r="O849" t="inlineStr">
        <is>
          <t>improve</t>
        </is>
      </c>
      <c r="P849" t="inlineStr">
        <is>
          <t>focus reconstruction</t>
        </is>
      </c>
      <c r="Q849" t="inlineStr"/>
      <c r="R849" t="inlineStr"/>
      <c r="S849">
        <f>HYPERLINK("https://helical-indexing-hi3d.streamlit.app/?emd_id=emd-28698&amp;rise=nan&amp;twist=nan&amp;csym=nan&amp;rise2=3.0&amp;twist2=20.0&amp;csym2=1", "Link")</f>
        <v/>
      </c>
    </row>
    <row r="850">
      <c r="A850" t="inlineStr">
        <is>
          <t>EMD-16683</t>
        </is>
      </c>
      <c r="B850" t="inlineStr">
        <is>
          <t>non-amyloid</t>
        </is>
      </c>
      <c r="C850" t="n">
        <v>3.5</v>
      </c>
      <c r="D850" t="n">
        <v>33.04</v>
      </c>
      <c r="E850" t="n">
        <v>-145.55</v>
      </c>
      <c r="F850" t="inlineStr">
        <is>
          <t>C1</t>
        </is>
      </c>
      <c r="G850" t="inlineStr">
        <is>
          <t>33.12169817</t>
        </is>
      </c>
      <c r="H850" t="n">
        <v>-145.3451253</v>
      </c>
      <c r="I850" t="inlineStr">
        <is>
          <t>C1</t>
        </is>
      </c>
      <c r="J850" t="n">
        <v>0.08662436499999999</v>
      </c>
      <c r="K850" t="inlineStr"/>
      <c r="L850" t="n">
        <v>0.88754</v>
      </c>
      <c r="M850" t="n">
        <v>0.895329134</v>
      </c>
      <c r="N850" t="inlineStr">
        <is>
          <t>Yes</t>
        </is>
      </c>
      <c r="O850" t="inlineStr">
        <is>
          <t>improve</t>
        </is>
      </c>
      <c r="P850" t="inlineStr">
        <is>
          <t>adjusted decimals</t>
        </is>
      </c>
      <c r="Q850" t="inlineStr"/>
      <c r="R850" t="inlineStr"/>
      <c r="S850">
        <f>HYPERLINK("https://helical-indexing-hi3d.streamlit.app/?emd_id=emd-16683&amp;rise=33.12169817&amp;twist=-145.3451253&amp;csym=1&amp;rise2=33.04&amp;twist2=-145.55&amp;csym2=1", "Link")</f>
        <v/>
      </c>
    </row>
    <row r="851">
      <c r="A851" t="inlineStr">
        <is>
          <t>EMD-20015</t>
        </is>
      </c>
      <c r="B851" t="inlineStr">
        <is>
          <t>non-amyloid</t>
        </is>
      </c>
      <c r="C851" t="n">
        <v>3.5</v>
      </c>
      <c r="D851" t="n">
        <v>21.6</v>
      </c>
      <c r="E851" t="n">
        <v>-86.2</v>
      </c>
      <c r="F851" t="inlineStr">
        <is>
          <t>C1</t>
        </is>
      </c>
      <c r="G851" t="inlineStr">
        <is>
          <t>21.6</t>
        </is>
      </c>
      <c r="H851" t="n">
        <v>-86.2</v>
      </c>
      <c r="I851" t="inlineStr">
        <is>
          <t>C1</t>
        </is>
      </c>
      <c r="J851" t="n">
        <v>0</v>
      </c>
      <c r="K851" t="inlineStr"/>
      <c r="L851" t="n">
        <v>0.94778</v>
      </c>
      <c r="M851" t="n">
        <v>0.94778</v>
      </c>
      <c r="N851" t="inlineStr">
        <is>
          <t>Yes</t>
        </is>
      </c>
      <c r="O851" t="inlineStr">
        <is>
          <t>equal</t>
        </is>
      </c>
      <c r="P851" t="inlineStr">
        <is>
          <t>deposited</t>
        </is>
      </c>
      <c r="Q851" t="inlineStr"/>
      <c r="R851" t="inlineStr"/>
      <c r="S851">
        <f>HYPERLINK("https://helical-indexing-hi3d.streamlit.app/?emd_id=emd-20015&amp;rise=21.6&amp;twist=-86.2&amp;csym=1&amp;rise2=21.6&amp;twist2=-86.2&amp;csym2=1", "Link")</f>
        <v/>
      </c>
    </row>
    <row r="852">
      <c r="A852" t="inlineStr">
        <is>
          <t>EMD-6352</t>
        </is>
      </c>
      <c r="B852" t="inlineStr">
        <is>
          <t>microtubule</t>
        </is>
      </c>
      <c r="C852" t="n">
        <v>3.5</v>
      </c>
      <c r="D852" t="n">
        <v>8.92</v>
      </c>
      <c r="E852" t="n">
        <v>25.75</v>
      </c>
      <c r="F852" t="inlineStr">
        <is>
          <t>C1</t>
        </is>
      </c>
      <c r="G852" t="inlineStr">
        <is>
          <t>83.1</t>
        </is>
      </c>
      <c r="H852" t="n">
        <v>-0.33</v>
      </c>
      <c r="I852" t="inlineStr">
        <is>
          <t>C1</t>
        </is>
      </c>
      <c r="J852" t="n">
        <v>74.90247035103941</v>
      </c>
      <c r="K852" t="inlineStr"/>
      <c r="L852" t="n">
        <v>0.432187632</v>
      </c>
      <c r="M852" t="n">
        <v>0.886881149</v>
      </c>
      <c r="N852" t="inlineStr">
        <is>
          <t>Yes</t>
        </is>
      </c>
      <c r="O852" t="inlineStr">
        <is>
          <t>improve</t>
        </is>
      </c>
      <c r="P852" t="inlineStr">
        <is>
          <t>different</t>
        </is>
      </c>
      <c r="Q852" t="inlineStr">
        <is>
          <t>wrong</t>
        </is>
      </c>
      <c r="R852" t="inlineStr"/>
      <c r="S852">
        <f>HYPERLINK("https://helical-indexing-hi3d.streamlit.app/?emd_id=emd-6352&amp;rise=83.1&amp;twist=-0.33&amp;csym=1&amp;rise2=8.92&amp;twist2=25.75&amp;csym2=1", "Link")</f>
        <v/>
      </c>
    </row>
    <row r="853">
      <c r="A853" t="inlineStr">
        <is>
          <t>EMD-6353</t>
        </is>
      </c>
      <c r="B853" t="inlineStr">
        <is>
          <t>microtubule</t>
        </is>
      </c>
      <c r="C853" t="n">
        <v>3.5</v>
      </c>
      <c r="D853" t="n">
        <v>8.75</v>
      </c>
      <c r="E853" t="n">
        <v>25.76</v>
      </c>
      <c r="F853" t="inlineStr">
        <is>
          <t>C1</t>
        </is>
      </c>
      <c r="G853" t="inlineStr">
        <is>
          <t>81.5</t>
        </is>
      </c>
      <c r="H853" t="n">
        <v>-0.33</v>
      </c>
      <c r="I853" t="inlineStr">
        <is>
          <t>C1</t>
        </is>
      </c>
      <c r="J853" t="n">
        <v>73.42592394311329</v>
      </c>
      <c r="K853" t="inlineStr"/>
      <c r="L853" t="n">
        <v>0.305053014</v>
      </c>
      <c r="M853" t="n">
        <v>0.90247504</v>
      </c>
      <c r="N853" t="inlineStr">
        <is>
          <t>Yes</t>
        </is>
      </c>
      <c r="O853" t="inlineStr">
        <is>
          <t>improve</t>
        </is>
      </c>
      <c r="P853" t="inlineStr">
        <is>
          <t>different</t>
        </is>
      </c>
      <c r="Q853" t="inlineStr">
        <is>
          <t>wrong</t>
        </is>
      </c>
      <c r="R853" t="inlineStr"/>
      <c r="S853">
        <f>HYPERLINK("https://helical-indexing-hi3d.streamlit.app/?emd_id=emd-6353&amp;rise=81.5&amp;twist=-0.33&amp;csym=1&amp;rise2=8.75&amp;twist2=25.76&amp;csym2=1", "Link")</f>
        <v/>
      </c>
    </row>
    <row r="854">
      <c r="A854" t="inlineStr">
        <is>
          <t>EMD-26158</t>
        </is>
      </c>
      <c r="B854" t="inlineStr">
        <is>
          <t>non-amyloid</t>
        </is>
      </c>
      <c r="C854" t="n">
        <v>3.5</v>
      </c>
      <c r="D854" t="n">
        <v>5.52</v>
      </c>
      <c r="E854" t="n">
        <v>108</v>
      </c>
      <c r="F854" t="inlineStr">
        <is>
          <t>C1</t>
        </is>
      </c>
      <c r="G854" t="inlineStr">
        <is>
          <t>5.52</t>
        </is>
      </c>
      <c r="H854" t="n">
        <v>108</v>
      </c>
      <c r="I854" t="inlineStr">
        <is>
          <t>C1</t>
        </is>
      </c>
      <c r="J854" t="n">
        <v>0</v>
      </c>
      <c r="K854" t="inlineStr"/>
      <c r="L854" t="n">
        <v>0.9105</v>
      </c>
      <c r="M854" t="n">
        <v>0.9105</v>
      </c>
      <c r="N854" t="inlineStr">
        <is>
          <t>Yes</t>
        </is>
      </c>
      <c r="O854" t="inlineStr">
        <is>
          <t>equal</t>
        </is>
      </c>
      <c r="P854" t="inlineStr">
        <is>
          <t>deposited</t>
        </is>
      </c>
      <c r="Q854" t="inlineStr"/>
      <c r="R854" t="inlineStr"/>
      <c r="S854">
        <f>HYPERLINK("https://helical-indexing-hi3d.streamlit.app/?emd_id=emd-26158&amp;rise=5.52&amp;twist=108.0&amp;csym=1&amp;rise2=5.52&amp;twist2=108.0&amp;csym2=1", "Link")</f>
        <v/>
      </c>
    </row>
    <row r="855">
      <c r="A855" t="inlineStr">
        <is>
          <t>EMD-32125</t>
        </is>
      </c>
      <c r="B855" t="inlineStr">
        <is>
          <t>non-amyloid</t>
        </is>
      </c>
      <c r="C855" t="n">
        <v>3.5</v>
      </c>
      <c r="D855" t="n">
        <v>33.51</v>
      </c>
      <c r="E855" t="n">
        <v>-48.6</v>
      </c>
      <c r="F855" t="inlineStr">
        <is>
          <t>C1</t>
        </is>
      </c>
      <c r="G855" t="inlineStr">
        <is>
          <t>33.31832901</t>
        </is>
      </c>
      <c r="H855" t="n">
        <v>-48.90924616</v>
      </c>
      <c r="I855" t="inlineStr">
        <is>
          <t>C1</t>
        </is>
      </c>
      <c r="J855" t="n">
        <v>0.2230690052370167</v>
      </c>
      <c r="K855" t="inlineStr"/>
      <c r="L855" t="n">
        <v>0.75901</v>
      </c>
      <c r="M855" t="n">
        <v>0.765903924</v>
      </c>
      <c r="N855" t="inlineStr">
        <is>
          <t>Yes</t>
        </is>
      </c>
      <c r="O855" t="inlineStr">
        <is>
          <t>improve</t>
        </is>
      </c>
      <c r="P855" t="inlineStr">
        <is>
          <t>adjusted decimals</t>
        </is>
      </c>
      <c r="Q855" t="inlineStr"/>
      <c r="R855" t="inlineStr"/>
      <c r="S855">
        <f>HYPERLINK("https://helical-indexing-hi3d.streamlit.app/?emd_id=emd-32125&amp;rise=33.31832901&amp;twist=-48.90924616&amp;csym=1&amp;rise2=33.51&amp;twist2=-48.6&amp;csym2=1", "Link")</f>
        <v/>
      </c>
    </row>
    <row r="856">
      <c r="A856" t="inlineStr">
        <is>
          <t>EMD-21941</t>
        </is>
      </c>
      <c r="B856" t="inlineStr">
        <is>
          <t>microtubule</t>
        </is>
      </c>
      <c r="C856" t="n">
        <v>3.5</v>
      </c>
      <c r="D856" t="n">
        <v>5.41</v>
      </c>
      <c r="E856" t="n">
        <v>168.07</v>
      </c>
      <c r="F856" t="inlineStr">
        <is>
          <t>C1</t>
        </is>
      </c>
      <c r="G856" t="inlineStr"/>
      <c r="H856" t="inlineStr"/>
      <c r="I856" t="inlineStr">
        <is>
          <t>C1</t>
        </is>
      </c>
      <c r="J856" t="inlineStr"/>
      <c r="K856" t="inlineStr"/>
      <c r="L856" t="n">
        <v>0.215815119</v>
      </c>
      <c r="M856" t="n">
        <v>0.265289816</v>
      </c>
      <c r="N856" t="inlineStr">
        <is>
          <t>Excluded</t>
        </is>
      </c>
      <c r="O856" t="inlineStr">
        <is>
          <t>improve</t>
        </is>
      </c>
      <c r="P856" t="inlineStr">
        <is>
          <t>partial map</t>
        </is>
      </c>
      <c r="Q856" t="inlineStr"/>
      <c r="R856" t="inlineStr"/>
      <c r="S856">
        <f>HYPERLINK("https://helical-indexing-hi3d.streamlit.app/?emd_id=emd-21941&amp;rise=nan&amp;twist=nan&amp;csym=1&amp;rise2=5.41&amp;twist2=168.07&amp;csym2=1", "Link")</f>
        <v/>
      </c>
    </row>
    <row r="857">
      <c r="A857" t="inlineStr">
        <is>
          <t>EMD-6350</t>
        </is>
      </c>
      <c r="B857" t="inlineStr">
        <is>
          <t>microtubule</t>
        </is>
      </c>
      <c r="C857" t="n">
        <v>3.5</v>
      </c>
      <c r="D857" t="n">
        <v>9.460000000000001</v>
      </c>
      <c r="E857" t="n">
        <v>27.7</v>
      </c>
      <c r="F857" t="inlineStr">
        <is>
          <t>C1</t>
        </is>
      </c>
      <c r="G857" t="inlineStr">
        <is>
          <t>81.71</t>
        </is>
      </c>
      <c r="H857" t="n">
        <v>-0.1</v>
      </c>
      <c r="I857" t="inlineStr">
        <is>
          <t>C1</t>
        </is>
      </c>
      <c r="J857" t="n">
        <v>72.77027225415695</v>
      </c>
      <c r="K857" t="inlineStr"/>
      <c r="L857" t="n">
        <v>0.344554491</v>
      </c>
      <c r="M857" t="n">
        <v>0.778321998</v>
      </c>
      <c r="N857" t="inlineStr">
        <is>
          <t>Yes</t>
        </is>
      </c>
      <c r="O857" t="inlineStr">
        <is>
          <t>improve</t>
        </is>
      </c>
      <c r="P857" t="inlineStr">
        <is>
          <t>different</t>
        </is>
      </c>
      <c r="Q857" t="inlineStr">
        <is>
          <t>wrong</t>
        </is>
      </c>
      <c r="R857" t="inlineStr"/>
      <c r="S857">
        <f>HYPERLINK("https://helical-indexing-hi3d.streamlit.app/?emd_id=emd-6350&amp;rise=81.71&amp;twist=-0.1&amp;csym=1&amp;rise2=9.46&amp;twist2=27.7&amp;csym2=1", "Link")</f>
        <v/>
      </c>
    </row>
    <row r="858">
      <c r="A858" t="inlineStr">
        <is>
          <t>EMD-11892</t>
        </is>
      </c>
      <c r="B858" t="inlineStr">
        <is>
          <t>non-amyloid</t>
        </is>
      </c>
      <c r="C858" t="n">
        <v>3.5</v>
      </c>
      <c r="D858" t="n">
        <v>54</v>
      </c>
      <c r="E858" t="n">
        <v>64</v>
      </c>
      <c r="F858" t="inlineStr">
        <is>
          <t>D2</t>
        </is>
      </c>
      <c r="G858" t="inlineStr">
        <is>
          <t>53.95269433</t>
        </is>
      </c>
      <c r="H858" t="n">
        <v>63.68777197</v>
      </c>
      <c r="I858" t="inlineStr">
        <is>
          <t>C2</t>
        </is>
      </c>
      <c r="J858" t="n">
        <v>0.1553491932842462</v>
      </c>
      <c r="K858" t="inlineStr"/>
      <c r="L858" t="n">
        <v>0.84927</v>
      </c>
      <c r="M858" t="n">
        <v>0.851128342</v>
      </c>
      <c r="N858" t="inlineStr">
        <is>
          <t>Yes</t>
        </is>
      </c>
      <c r="O858" t="inlineStr">
        <is>
          <t>improve</t>
        </is>
      </c>
      <c r="P858" t="inlineStr">
        <is>
          <t>adjusted decimals</t>
        </is>
      </c>
      <c r="Q858" t="inlineStr"/>
      <c r="R858" t="inlineStr"/>
      <c r="S858">
        <f>HYPERLINK("https://helical-indexing-hi3d.streamlit.app/?emd_id=emd-11892&amp;rise=53.95269433&amp;twist=63.68777197&amp;csym=2&amp;rise2=54.0&amp;twist2=64.0&amp;csym2=2", "Link")</f>
        <v/>
      </c>
    </row>
    <row r="859">
      <c r="A859" t="inlineStr">
        <is>
          <t>EMD-11721</t>
        </is>
      </c>
      <c r="B859" t="inlineStr">
        <is>
          <t>non-amyloid</t>
        </is>
      </c>
      <c r="C859" t="n">
        <v>3.5</v>
      </c>
      <c r="D859" t="n">
        <v>27.3</v>
      </c>
      <c r="E859" t="n">
        <v>-167.18</v>
      </c>
      <c r="F859" t="inlineStr">
        <is>
          <t>C1</t>
        </is>
      </c>
      <c r="G859" t="inlineStr">
        <is>
          <t>27.3</t>
        </is>
      </c>
      <c r="H859" t="n">
        <v>-167.18</v>
      </c>
      <c r="I859" t="inlineStr">
        <is>
          <t>C1</t>
        </is>
      </c>
      <c r="J859" t="n">
        <v>0</v>
      </c>
      <c r="K859" t="inlineStr"/>
      <c r="L859" t="n">
        <v>0.757172814</v>
      </c>
      <c r="M859" t="n">
        <v>0.757172814</v>
      </c>
      <c r="N859" t="inlineStr">
        <is>
          <t>Yes</t>
        </is>
      </c>
      <c r="O859" t="inlineStr">
        <is>
          <t>equal</t>
        </is>
      </c>
      <c r="P859" t="inlineStr">
        <is>
          <t>deposited</t>
        </is>
      </c>
      <c r="Q859" t="inlineStr"/>
      <c r="R859" t="inlineStr"/>
      <c r="S859">
        <f>HYPERLINK("https://helical-indexing-hi3d.streamlit.app/?emd_id=emd-11721&amp;rise=27.3&amp;twist=-167.18&amp;csym=1&amp;rise2=27.3&amp;twist2=-167.18&amp;csym2=1", "Link")</f>
        <v/>
      </c>
    </row>
    <row r="860">
      <c r="A860" t="inlineStr">
        <is>
          <t>EMD-25215</t>
        </is>
      </c>
      <c r="B860" t="inlineStr">
        <is>
          <t>non-amyloid</t>
        </is>
      </c>
      <c r="C860" t="n">
        <v>3.5</v>
      </c>
      <c r="D860" t="n">
        <v>9.5</v>
      </c>
      <c r="E860" t="n">
        <v>130.9</v>
      </c>
      <c r="F860" t="inlineStr">
        <is>
          <t>C1</t>
        </is>
      </c>
      <c r="G860" t="inlineStr">
        <is>
          <t>9.486058774</t>
        </is>
      </c>
      <c r="H860" t="n">
        <v>130.9152264</v>
      </c>
      <c r="I860" t="inlineStr">
        <is>
          <t>C1</t>
        </is>
      </c>
      <c r="J860" t="n">
        <v>0.0158277705545331</v>
      </c>
      <c r="K860" t="inlineStr"/>
      <c r="L860" t="n">
        <v>0.989851292</v>
      </c>
      <c r="M860" t="n">
        <v>0.994694007</v>
      </c>
      <c r="N860" t="inlineStr">
        <is>
          <t>Yes</t>
        </is>
      </c>
      <c r="O860" t="inlineStr">
        <is>
          <t>improve</t>
        </is>
      </c>
      <c r="P860" t="inlineStr">
        <is>
          <t>adjusted decimals</t>
        </is>
      </c>
      <c r="Q860" t="inlineStr"/>
      <c r="R860" t="inlineStr"/>
      <c r="S860">
        <f>HYPERLINK("https://helical-indexing-hi3d.streamlit.app/?emd_id=emd-25215&amp;rise=9.486058774&amp;twist=130.9152264&amp;csym=1&amp;rise2=9.5&amp;twist2=130.9&amp;csym2=1", "Link")</f>
        <v/>
      </c>
    </row>
    <row r="861">
      <c r="A861" t="inlineStr">
        <is>
          <t>EMD-27742</t>
        </is>
      </c>
      <c r="B861" t="inlineStr">
        <is>
          <t>non-amyloid</t>
        </is>
      </c>
      <c r="C861" t="n">
        <v>3.5</v>
      </c>
      <c r="D861" t="n">
        <v>17.328</v>
      </c>
      <c r="E861" t="n">
        <v>31.437</v>
      </c>
      <c r="F861" t="inlineStr">
        <is>
          <t>C6</t>
        </is>
      </c>
      <c r="G861" t="inlineStr">
        <is>
          <t>17.328</t>
        </is>
      </c>
      <c r="H861" t="n">
        <v>31.437</v>
      </c>
      <c r="I861" t="inlineStr">
        <is>
          <t>C6</t>
        </is>
      </c>
      <c r="J861" t="n">
        <v>0</v>
      </c>
      <c r="K861" t="inlineStr"/>
      <c r="L861" t="n">
        <v>0.978629547</v>
      </c>
      <c r="M861" t="n">
        <v>0.978629547</v>
      </c>
      <c r="N861" t="inlineStr">
        <is>
          <t>Yes</t>
        </is>
      </c>
      <c r="O861" t="inlineStr">
        <is>
          <t>equal</t>
        </is>
      </c>
      <c r="P861" t="inlineStr">
        <is>
          <t>deposited</t>
        </is>
      </c>
      <c r="Q861" t="inlineStr"/>
      <c r="R861" t="inlineStr"/>
      <c r="S861">
        <f>HYPERLINK("https://helical-indexing-hi3d.streamlit.app/?emd_id=emd-27742&amp;rise=17.328&amp;twist=31.437&amp;csym=6&amp;rise2=17.328&amp;twist2=31.437&amp;csym2=6", "Link")</f>
        <v/>
      </c>
    </row>
    <row r="862">
      <c r="A862" t="inlineStr">
        <is>
          <t>EMD-28657</t>
        </is>
      </c>
      <c r="B862" t="inlineStr">
        <is>
          <t>non-amyloid</t>
        </is>
      </c>
      <c r="C862" t="n">
        <v>3.5</v>
      </c>
      <c r="D862" t="n">
        <v>13.68</v>
      </c>
      <c r="E862" t="n">
        <v>32.45</v>
      </c>
      <c r="F862" t="inlineStr">
        <is>
          <t>C5</t>
        </is>
      </c>
      <c r="G862" t="inlineStr">
        <is>
          <t>13.67149784</t>
        </is>
      </c>
      <c r="H862" t="n">
        <v>32.57317781</v>
      </c>
      <c r="I862" t="inlineStr">
        <is>
          <t>C5</t>
        </is>
      </c>
      <c r="J862" t="n">
        <v>0.036682486</v>
      </c>
      <c r="K862" t="inlineStr"/>
      <c r="L862" t="n">
        <v>0.87708</v>
      </c>
      <c r="M862" t="n">
        <v>0.888498527</v>
      </c>
      <c r="N862" t="inlineStr">
        <is>
          <t>Yes</t>
        </is>
      </c>
      <c r="O862" t="inlineStr">
        <is>
          <t>improve</t>
        </is>
      </c>
      <c r="P862" t="inlineStr">
        <is>
          <t>adjusted decimals</t>
        </is>
      </c>
      <c r="Q862" t="inlineStr"/>
      <c r="R862" t="inlineStr"/>
      <c r="S862">
        <f>HYPERLINK("https://helical-indexing-hi3d.streamlit.app/?emd_id=emd-28657&amp;rise=13.67149784&amp;twist=32.57317781&amp;csym=5&amp;rise2=13.68&amp;twist2=32.45&amp;csym2=5", "Link")</f>
        <v/>
      </c>
    </row>
    <row r="863">
      <c r="A863" t="inlineStr">
        <is>
          <t>EMD-7026</t>
        </is>
      </c>
      <c r="B863" t="inlineStr">
        <is>
          <t>microtubule</t>
        </is>
      </c>
      <c r="C863" t="n">
        <v>3.51</v>
      </c>
      <c r="D863" t="n">
        <v>5.57</v>
      </c>
      <c r="E863" t="n">
        <v>168.089</v>
      </c>
      <c r="F863" t="inlineStr">
        <is>
          <t>C1</t>
        </is>
      </c>
      <c r="G863" t="inlineStr">
        <is>
          <t>5.57</t>
        </is>
      </c>
      <c r="H863" t="n">
        <v>168.089</v>
      </c>
      <c r="I863" t="inlineStr">
        <is>
          <t>C1</t>
        </is>
      </c>
      <c r="J863" t="n">
        <v>0</v>
      </c>
      <c r="K863" t="inlineStr"/>
      <c r="L863" t="n">
        <v>0.965971494</v>
      </c>
      <c r="M863" t="n">
        <v>0.965971494</v>
      </c>
      <c r="N863" t="inlineStr">
        <is>
          <t>Yes</t>
        </is>
      </c>
      <c r="O863" t="inlineStr">
        <is>
          <t>equal</t>
        </is>
      </c>
      <c r="P863" t="inlineStr">
        <is>
          <t>deposited</t>
        </is>
      </c>
      <c r="Q863" t="inlineStr"/>
      <c r="R863" t="inlineStr"/>
      <c r="S863">
        <f>HYPERLINK("https://helical-indexing-hi3d.streamlit.app/?emd_id=emd-7026&amp;rise=5.57&amp;twist=168.089&amp;csym=1&amp;rise2=5.57&amp;twist2=168.089&amp;csym2=1", "Link")</f>
        <v/>
      </c>
    </row>
    <row r="864">
      <c r="A864" t="inlineStr">
        <is>
          <t>EMD-27714</t>
        </is>
      </c>
      <c r="B864" t="inlineStr">
        <is>
          <t>non-amyloid</t>
        </is>
      </c>
      <c r="C864" t="n">
        <v>3.53</v>
      </c>
      <c r="D864" t="n">
        <v>39.15</v>
      </c>
      <c r="E864" t="n">
        <v>19.32</v>
      </c>
      <c r="F864" t="inlineStr">
        <is>
          <t>C6</t>
        </is>
      </c>
      <c r="G864" t="inlineStr">
        <is>
          <t>39.15</t>
        </is>
      </c>
      <c r="H864" t="n">
        <v>19.32</v>
      </c>
      <c r="I864" t="inlineStr">
        <is>
          <t>C6</t>
        </is>
      </c>
      <c r="J864" t="n">
        <v>0</v>
      </c>
      <c r="K864" t="inlineStr"/>
      <c r="L864" t="n">
        <v>0.905604421</v>
      </c>
      <c r="M864" t="n">
        <v>0.905604421</v>
      </c>
      <c r="N864" t="inlineStr">
        <is>
          <t>Yes</t>
        </is>
      </c>
      <c r="O864" t="inlineStr">
        <is>
          <t>equal</t>
        </is>
      </c>
      <c r="P864" t="inlineStr">
        <is>
          <t>deposited</t>
        </is>
      </c>
      <c r="Q864" t="inlineStr"/>
      <c r="R864" t="inlineStr"/>
      <c r="S864">
        <f>HYPERLINK("https://helical-indexing-hi3d.streamlit.app/?emd_id=emd-27714&amp;rise=39.15&amp;twist=19.32&amp;csym=6&amp;rise2=39.15&amp;twist2=19.32&amp;csym2=6", "Link")</f>
        <v/>
      </c>
    </row>
    <row r="865">
      <c r="A865" t="inlineStr">
        <is>
          <t>EMD-22219</t>
        </is>
      </c>
      <c r="B865" t="inlineStr">
        <is>
          <t>non-amyloid</t>
        </is>
      </c>
      <c r="C865" t="n">
        <v>3.54</v>
      </c>
      <c r="D865" t="n">
        <v>5.2</v>
      </c>
      <c r="E865" t="n">
        <v>-99.06999999999999</v>
      </c>
      <c r="F865" t="inlineStr">
        <is>
          <t>C1</t>
        </is>
      </c>
      <c r="G865" t="inlineStr"/>
      <c r="H865" t="inlineStr"/>
      <c r="I865" t="inlineStr">
        <is>
          <t>Cnan</t>
        </is>
      </c>
      <c r="J865" t="inlineStr"/>
      <c r="K865" t="inlineStr"/>
      <c r="L865" t="n">
        <v>0.612639372</v>
      </c>
      <c r="M865" t="n">
        <v>0.634689922</v>
      </c>
      <c r="N865" t="inlineStr">
        <is>
          <t>Excluded</t>
        </is>
      </c>
      <c r="O865" t="inlineStr">
        <is>
          <t>improve</t>
        </is>
      </c>
      <c r="P865" t="inlineStr">
        <is>
          <t>focus reconstruction</t>
        </is>
      </c>
      <c r="Q865" t="inlineStr"/>
      <c r="R865" t="inlineStr"/>
      <c r="S865">
        <f>HYPERLINK("https://helical-indexing-hi3d.streamlit.app/?emd_id=emd-22219&amp;rise=nan&amp;twist=nan&amp;csym=nan&amp;rise2=5.2&amp;twist2=-99.07&amp;csym2=1", "Link")</f>
        <v/>
      </c>
    </row>
    <row r="866">
      <c r="A866" t="inlineStr">
        <is>
          <t>EMD-25454</t>
        </is>
      </c>
      <c r="B866" t="inlineStr">
        <is>
          <t>non-amyloid</t>
        </is>
      </c>
      <c r="C866" t="n">
        <v>3.54</v>
      </c>
      <c r="D866" t="n">
        <v>7</v>
      </c>
      <c r="E866" t="n">
        <v>59.3</v>
      </c>
      <c r="F866" t="inlineStr">
        <is>
          <t>C1</t>
        </is>
      </c>
      <c r="G866" t="inlineStr">
        <is>
          <t>6.99786076</t>
        </is>
      </c>
      <c r="H866" t="n">
        <v>59.26342539</v>
      </c>
      <c r="I866" t="inlineStr">
        <is>
          <t>C1</t>
        </is>
      </c>
      <c r="J866" t="n">
        <v>0.012775524</v>
      </c>
      <c r="K866" t="inlineStr"/>
      <c r="L866" t="n">
        <v>0.78769</v>
      </c>
      <c r="M866" t="n">
        <v>0.789014039</v>
      </c>
      <c r="N866" t="inlineStr">
        <is>
          <t>Yes</t>
        </is>
      </c>
      <c r="O866" t="inlineStr">
        <is>
          <t>improve</t>
        </is>
      </c>
      <c r="P866" t="inlineStr">
        <is>
          <t>adjusted decimals</t>
        </is>
      </c>
      <c r="Q866" t="inlineStr"/>
      <c r="R866" t="inlineStr"/>
      <c r="S866">
        <f>HYPERLINK("https://helical-indexing-hi3d.streamlit.app/?emd_id=emd-25454&amp;rise=6.99786076&amp;twist=59.26342539&amp;csym=1&amp;rise2=7.0&amp;twist2=59.3&amp;csym2=1", "Link")</f>
        <v/>
      </c>
    </row>
    <row r="867">
      <c r="A867" t="inlineStr">
        <is>
          <t>EMD-7831</t>
        </is>
      </c>
      <c r="B867" t="inlineStr">
        <is>
          <t>non-amyloid</t>
        </is>
      </c>
      <c r="C867" t="n">
        <v>3.54</v>
      </c>
      <c r="D867" t="n">
        <v>27.54</v>
      </c>
      <c r="E867" t="n">
        <v>-166.73</v>
      </c>
      <c r="F867" t="inlineStr">
        <is>
          <t>C1</t>
        </is>
      </c>
      <c r="G867" t="inlineStr">
        <is>
          <t>27.54</t>
        </is>
      </c>
      <c r="H867" t="n">
        <v>-166.73</v>
      </c>
      <c r="I867" t="inlineStr">
        <is>
          <t>C1</t>
        </is>
      </c>
      <c r="J867" t="n">
        <v>0</v>
      </c>
      <c r="K867" t="inlineStr"/>
      <c r="L867" t="n">
        <v>0.9471000000000001</v>
      </c>
      <c r="M867" t="n">
        <v>0.9471000000000001</v>
      </c>
      <c r="N867" t="inlineStr">
        <is>
          <t>Yes</t>
        </is>
      </c>
      <c r="O867" t="inlineStr">
        <is>
          <t>equal</t>
        </is>
      </c>
      <c r="P867" t="inlineStr">
        <is>
          <t>deposited</t>
        </is>
      </c>
      <c r="Q867" t="inlineStr"/>
      <c r="R867" t="inlineStr"/>
      <c r="S867">
        <f>HYPERLINK("https://helical-indexing-hi3d.streamlit.app/?emd_id=emd-7831&amp;rise=27.54&amp;twist=-166.73&amp;csym=1&amp;rise2=27.54&amp;twist2=-166.73&amp;csym2=1", "Link")</f>
        <v/>
      </c>
    </row>
    <row r="868">
      <c r="A868" t="inlineStr">
        <is>
          <t>EMD-21925</t>
        </is>
      </c>
      <c r="B868" t="inlineStr">
        <is>
          <t>non-amyloid</t>
        </is>
      </c>
      <c r="C868" t="n">
        <v>3.56</v>
      </c>
      <c r="D868" t="n">
        <v>27.4</v>
      </c>
      <c r="E868" t="n">
        <v>-166.9</v>
      </c>
      <c r="F868" t="inlineStr">
        <is>
          <t>C1</t>
        </is>
      </c>
      <c r="G868" t="inlineStr">
        <is>
          <t>27.4</t>
        </is>
      </c>
      <c r="H868" t="n">
        <v>-166.9</v>
      </c>
      <c r="I868" t="inlineStr">
        <is>
          <t>C1</t>
        </is>
      </c>
      <c r="J868" t="n">
        <v>0</v>
      </c>
      <c r="K868" t="inlineStr"/>
      <c r="L868" t="n">
        <v>0.91508</v>
      </c>
      <c r="M868" t="n">
        <v>0.91508</v>
      </c>
      <c r="N868" t="inlineStr">
        <is>
          <t>Yes</t>
        </is>
      </c>
      <c r="O868" t="inlineStr">
        <is>
          <t>equal</t>
        </is>
      </c>
      <c r="P868" t="inlineStr">
        <is>
          <t>deposited</t>
        </is>
      </c>
      <c r="Q868" t="inlineStr"/>
      <c r="R868" t="inlineStr"/>
      <c r="S868">
        <f>HYPERLINK("https://helical-indexing-hi3d.streamlit.app/?emd_id=emd-21925&amp;rise=27.4&amp;twist=-166.9&amp;csym=1&amp;rise2=27.4&amp;twist2=-166.9&amp;csym2=1", "Link")</f>
        <v/>
      </c>
    </row>
    <row r="869">
      <c r="A869" t="inlineStr">
        <is>
          <t>EMD-22701</t>
        </is>
      </c>
      <c r="B869" t="inlineStr">
        <is>
          <t>non-amyloid</t>
        </is>
      </c>
      <c r="C869" t="n">
        <v>3.56</v>
      </c>
      <c r="D869" t="n">
        <v>4.4</v>
      </c>
      <c r="E869" t="n">
        <v>64.3</v>
      </c>
      <c r="F869" t="inlineStr">
        <is>
          <t>C1</t>
        </is>
      </c>
      <c r="G869" t="inlineStr">
        <is>
          <t>4.396645454</t>
        </is>
      </c>
      <c r="H869" t="n">
        <v>64.33289365</v>
      </c>
      <c r="I869" t="inlineStr">
        <is>
          <t>C1</t>
        </is>
      </c>
      <c r="J869" t="n">
        <v>0.006920938</v>
      </c>
      <c r="K869" t="inlineStr"/>
      <c r="L869" t="n">
        <v>0.83517</v>
      </c>
      <c r="M869" t="n">
        <v>0.843505149</v>
      </c>
      <c r="N869" t="inlineStr">
        <is>
          <t>Yes</t>
        </is>
      </c>
      <c r="O869" t="inlineStr">
        <is>
          <t>improve</t>
        </is>
      </c>
      <c r="P869" t="inlineStr">
        <is>
          <t>adjusted decimals</t>
        </is>
      </c>
      <c r="Q869" t="inlineStr"/>
      <c r="R869" t="inlineStr"/>
      <c r="S869">
        <f>HYPERLINK("https://helical-indexing-hi3d.streamlit.app/?emd_id=emd-22701&amp;rise=4.396645454&amp;twist=64.33289365&amp;csym=1&amp;rise2=4.4&amp;twist2=64.3&amp;csym2=1", "Link")</f>
        <v/>
      </c>
    </row>
    <row r="870">
      <c r="A870" t="inlineStr">
        <is>
          <t>EMD-9896</t>
        </is>
      </c>
      <c r="B870" t="inlineStr">
        <is>
          <t>non-amyloid</t>
        </is>
      </c>
      <c r="C870" t="n">
        <v>3.56</v>
      </c>
      <c r="D870" t="n">
        <v>4.86758</v>
      </c>
      <c r="E870" t="n">
        <v>65.813</v>
      </c>
      <c r="F870" t="inlineStr">
        <is>
          <t>C1</t>
        </is>
      </c>
      <c r="G870" t="inlineStr">
        <is>
          <t>4.688299812</t>
        </is>
      </c>
      <c r="H870" t="n">
        <v>65.81293144</v>
      </c>
      <c r="I870" t="inlineStr">
        <is>
          <t>C1</t>
        </is>
      </c>
      <c r="J870" t="n">
        <v>0.1792801913719341</v>
      </c>
      <c r="K870" t="inlineStr"/>
      <c r="L870" t="n">
        <v>0.354126461</v>
      </c>
      <c r="M870" t="n">
        <v>0.869807121</v>
      </c>
      <c r="N870" t="inlineStr">
        <is>
          <t>Yes</t>
        </is>
      </c>
      <c r="O870" t="inlineStr">
        <is>
          <t>improve</t>
        </is>
      </c>
      <c r="P870" t="inlineStr">
        <is>
          <t>adjusted decimals</t>
        </is>
      </c>
      <c r="Q870" t="inlineStr"/>
      <c r="R870" t="inlineStr"/>
      <c r="S870">
        <f>HYPERLINK("https://helical-indexing-hi3d.streamlit.app/?emd_id=emd-9896&amp;rise=4.688299812&amp;twist=65.81293144&amp;csym=1&amp;rise2=4.86758&amp;twist2=65.813&amp;csym2=1", "Link")</f>
        <v/>
      </c>
    </row>
    <row r="871">
      <c r="A871" t="inlineStr">
        <is>
          <t>EMD-13489</t>
        </is>
      </c>
      <c r="B871" t="inlineStr">
        <is>
          <t>non-amyloid</t>
        </is>
      </c>
      <c r="C871" t="n">
        <v>3.57</v>
      </c>
      <c r="D871" t="n">
        <v>6.78</v>
      </c>
      <c r="E871" t="n">
        <v>59.72</v>
      </c>
      <c r="F871" t="inlineStr">
        <is>
          <t>C1</t>
        </is>
      </c>
      <c r="G871" t="inlineStr">
        <is>
          <t>6.65</t>
        </is>
      </c>
      <c r="H871" t="n">
        <v>59.44</v>
      </c>
      <c r="I871" t="inlineStr">
        <is>
          <t>C1</t>
        </is>
      </c>
      <c r="J871" t="n">
        <v>0.2152377639418061</v>
      </c>
      <c r="K871" t="inlineStr">
        <is>
          <t>z -&gt; x</t>
        </is>
      </c>
      <c r="L871" t="n">
        <v>0.62662</v>
      </c>
      <c r="M871" t="n">
        <v>0.80598</v>
      </c>
      <c r="N871" t="inlineStr">
        <is>
          <t>Yes</t>
        </is>
      </c>
      <c r="O871" t="inlineStr">
        <is>
          <t>improve</t>
        </is>
      </c>
      <c r="P871" t="inlineStr">
        <is>
          <t>adjusted decimals</t>
        </is>
      </c>
      <c r="Q871" t="inlineStr"/>
      <c r="R871" t="inlineStr"/>
      <c r="S871">
        <f>HYPERLINK("https://helical-indexing-hi3d.streamlit.app/?emd_id=emd-13489&amp;rise=6.65&amp;twist=59.44&amp;csym=1&amp;rise2=6.78&amp;twist2=59.72&amp;csym2=1", "Link")</f>
        <v/>
      </c>
    </row>
    <row r="872">
      <c r="A872" t="inlineStr">
        <is>
          <t>EMD-36040</t>
        </is>
      </c>
      <c r="B872" t="inlineStr">
        <is>
          <t>non-amyloid</t>
        </is>
      </c>
      <c r="C872" t="n">
        <v>3.58</v>
      </c>
      <c r="D872" t="n">
        <v>9.800000000000001</v>
      </c>
      <c r="E872" t="n">
        <v>155.6</v>
      </c>
      <c r="F872" t="inlineStr">
        <is>
          <t>C1</t>
        </is>
      </c>
      <c r="G872" t="inlineStr">
        <is>
          <t>9.740582965</t>
        </is>
      </c>
      <c r="H872" t="n">
        <v>-155.6091513</v>
      </c>
      <c r="I872" t="inlineStr">
        <is>
          <t>C1</t>
        </is>
      </c>
      <c r="J872" t="n">
        <v>27.82328701788612</v>
      </c>
      <c r="K872" t="inlineStr">
        <is>
          <t> </t>
        </is>
      </c>
      <c r="L872" t="n">
        <v>0.339156985</v>
      </c>
      <c r="M872" t="n">
        <v>0.8114507</v>
      </c>
      <c r="N872" t="inlineStr">
        <is>
          <t>Yes</t>
        </is>
      </c>
      <c r="O872" t="inlineStr">
        <is>
          <t>improve</t>
        </is>
      </c>
      <c r="P872" t="inlineStr">
        <is>
          <t>twist sign</t>
        </is>
      </c>
      <c r="Q872" t="inlineStr"/>
      <c r="R872" t="inlineStr"/>
      <c r="S872">
        <f>HYPERLINK("https://helical-indexing-hi3d.streamlit.app/?emd_id=emd-36040&amp;rise=9.740582965&amp;twist=-155.6091513&amp;csym=1&amp;rise2=9.8&amp;twist2=155.6&amp;csym2=1", "Link")</f>
        <v/>
      </c>
    </row>
    <row r="873">
      <c r="A873" t="inlineStr">
        <is>
          <t>EMD-17047</t>
        </is>
      </c>
      <c r="B873" t="inlineStr">
        <is>
          <t>non-amyloid</t>
        </is>
      </c>
      <c r="C873" t="n">
        <v>3.58</v>
      </c>
      <c r="D873" t="n">
        <v>5.876</v>
      </c>
      <c r="E873" t="n">
        <v>-48.107</v>
      </c>
      <c r="F873" t="inlineStr">
        <is>
          <t>C1</t>
        </is>
      </c>
      <c r="G873" t="inlineStr">
        <is>
          <t>5.876</t>
        </is>
      </c>
      <c r="H873" t="n">
        <v>-48.107</v>
      </c>
      <c r="I873" t="inlineStr">
        <is>
          <t>C1</t>
        </is>
      </c>
      <c r="J873" t="n">
        <v>0</v>
      </c>
      <c r="K873" t="inlineStr"/>
      <c r="L873" t="n">
        <v>0.96286</v>
      </c>
      <c r="M873" t="n">
        <v>0.96286</v>
      </c>
      <c r="N873" t="inlineStr">
        <is>
          <t>Yes</t>
        </is>
      </c>
      <c r="O873" t="inlineStr">
        <is>
          <t>equal</t>
        </is>
      </c>
      <c r="P873" t="inlineStr">
        <is>
          <t>deposited</t>
        </is>
      </c>
      <c r="Q873" t="inlineStr"/>
      <c r="R873" t="inlineStr"/>
      <c r="S873">
        <f>HYPERLINK("https://helical-indexing-hi3d.streamlit.app/?emd_id=emd-17047&amp;rise=5.876&amp;twist=-48.107&amp;csym=1&amp;rise2=5.876&amp;twist2=-48.107&amp;csym2=1", "Link")</f>
        <v/>
      </c>
    </row>
    <row r="874">
      <c r="A874" t="inlineStr">
        <is>
          <t>EMD-8903</t>
        </is>
      </c>
      <c r="B874" t="inlineStr">
        <is>
          <t>non-amyloid</t>
        </is>
      </c>
      <c r="C874" t="n">
        <v>3.58</v>
      </c>
      <c r="D874" t="n">
        <v>4.93</v>
      </c>
      <c r="E874" t="n">
        <v>-100.48</v>
      </c>
      <c r="F874" t="inlineStr">
        <is>
          <t>C1</t>
        </is>
      </c>
      <c r="G874" t="inlineStr">
        <is>
          <t>4.93</t>
        </is>
      </c>
      <c r="H874" t="n">
        <v>-100.48</v>
      </c>
      <c r="I874" t="inlineStr">
        <is>
          <t>C1</t>
        </is>
      </c>
      <c r="J874" t="n">
        <v>0</v>
      </c>
      <c r="K874" t="inlineStr"/>
      <c r="L874" t="n">
        <v>0.69887</v>
      </c>
      <c r="M874" t="n">
        <v>0.69887</v>
      </c>
      <c r="N874" t="inlineStr">
        <is>
          <t>No</t>
        </is>
      </c>
      <c r="O874" t="inlineStr">
        <is>
          <t>equal</t>
        </is>
      </c>
      <c r="P874" t="inlineStr">
        <is>
          <t>deposited</t>
        </is>
      </c>
      <c r="Q874" t="inlineStr"/>
      <c r="R874" t="inlineStr"/>
      <c r="S874">
        <f>HYPERLINK("https://helical-indexing-hi3d.streamlit.app/?emd_id=emd-8903&amp;rise=4.93&amp;twist=-100.48&amp;csym=1&amp;rise2=4.93&amp;twist2=-100.48&amp;csym2=1", "Link")</f>
        <v/>
      </c>
    </row>
    <row r="875">
      <c r="A875" t="inlineStr">
        <is>
          <t>EMD-17054</t>
        </is>
      </c>
      <c r="B875" t="inlineStr">
        <is>
          <t>non-amyloid</t>
        </is>
      </c>
      <c r="C875" t="n">
        <v>3.59</v>
      </c>
      <c r="D875" t="n">
        <v>5.03</v>
      </c>
      <c r="E875" t="n">
        <v>-44.43</v>
      </c>
      <c r="F875" t="inlineStr">
        <is>
          <t>C1</t>
        </is>
      </c>
      <c r="G875" t="inlineStr">
        <is>
          <t>5.029885208</t>
        </is>
      </c>
      <c r="H875" t="n">
        <v>-44.43012996</v>
      </c>
      <c r="I875" t="inlineStr">
        <is>
          <t>C1</t>
        </is>
      </c>
      <c r="J875" t="n">
        <v>0.000133848</v>
      </c>
      <c r="K875" t="inlineStr"/>
      <c r="L875" t="n">
        <v>0.96392</v>
      </c>
      <c r="M875" t="n">
        <v>0.963922915</v>
      </c>
      <c r="N875" t="inlineStr">
        <is>
          <t>Yes</t>
        </is>
      </c>
      <c r="O875" t="inlineStr">
        <is>
          <t>improve</t>
        </is>
      </c>
      <c r="P875" t="inlineStr">
        <is>
          <t>adjusted decimals</t>
        </is>
      </c>
      <c r="Q875" t="inlineStr"/>
      <c r="R875" t="inlineStr"/>
      <c r="S875">
        <f>HYPERLINK("https://helical-indexing-hi3d.streamlit.app/?emd_id=emd-17054&amp;rise=5.029885208&amp;twist=-44.43012996&amp;csym=1&amp;rise2=5.03&amp;twist2=-44.43&amp;csym2=1", "Link")</f>
        <v/>
      </c>
    </row>
    <row r="876">
      <c r="A876" t="inlineStr">
        <is>
          <t>EMD-21936</t>
        </is>
      </c>
      <c r="B876" t="inlineStr">
        <is>
          <t>microtubule</t>
        </is>
      </c>
      <c r="C876" t="n">
        <v>3.6</v>
      </c>
      <c r="D876" t="n">
        <v>5.5</v>
      </c>
      <c r="E876" t="n">
        <v>168.09</v>
      </c>
      <c r="F876" t="inlineStr">
        <is>
          <t>C1</t>
        </is>
      </c>
      <c r="G876" t="inlineStr"/>
      <c r="H876" t="inlineStr"/>
      <c r="I876" t="inlineStr">
        <is>
          <t>C1</t>
        </is>
      </c>
      <c r="J876" t="inlineStr"/>
      <c r="K876" t="inlineStr"/>
      <c r="L876" t="n">
        <v>0.26466</v>
      </c>
      <c r="M876" t="n">
        <v>0.658927699</v>
      </c>
      <c r="N876" t="inlineStr">
        <is>
          <t>Excluded</t>
        </is>
      </c>
      <c r="O876" t="inlineStr">
        <is>
          <t>improve</t>
        </is>
      </c>
      <c r="P876" t="inlineStr">
        <is>
          <t>partial map</t>
        </is>
      </c>
      <c r="Q876" t="inlineStr"/>
      <c r="R876" t="inlineStr"/>
      <c r="S876">
        <f>HYPERLINK("https://helical-indexing-hi3d.streamlit.app/?emd_id=emd-21936&amp;rise=nan&amp;twist=nan&amp;csym=1&amp;rise2=5.5&amp;twist2=168.09&amp;csym2=1", "Link")</f>
        <v/>
      </c>
    </row>
    <row r="877">
      <c r="A877" t="inlineStr">
        <is>
          <t>EMD-11698</t>
        </is>
      </c>
      <c r="B877" t="inlineStr">
        <is>
          <t>non-amyloid</t>
        </is>
      </c>
      <c r="C877" t="n">
        <v>3.6</v>
      </c>
      <c r="D877" t="n">
        <v>2.94</v>
      </c>
      <c r="E877" t="n">
        <v>35.32</v>
      </c>
      <c r="F877" t="inlineStr">
        <is>
          <t>C1</t>
        </is>
      </c>
      <c r="G877" t="inlineStr">
        <is>
          <t>2.94</t>
        </is>
      </c>
      <c r="H877" t="n">
        <v>35.32</v>
      </c>
      <c r="I877" t="inlineStr">
        <is>
          <t>C1</t>
        </is>
      </c>
      <c r="J877" t="n">
        <v>0</v>
      </c>
      <c r="K877" t="inlineStr">
        <is>
          <t>z -&gt; x</t>
        </is>
      </c>
      <c r="L877" t="n">
        <v>0.926219113</v>
      </c>
      <c r="M877" t="n">
        <v>0.926219113</v>
      </c>
      <c r="N877" t="inlineStr">
        <is>
          <t>Yes</t>
        </is>
      </c>
      <c r="O877" t="inlineStr">
        <is>
          <t>equal</t>
        </is>
      </c>
      <c r="P877" t="inlineStr">
        <is>
          <t>deposited</t>
        </is>
      </c>
      <c r="Q877" t="inlineStr"/>
      <c r="R877" t="inlineStr"/>
      <c r="S877">
        <f>HYPERLINK("https://helical-indexing-hi3d.streamlit.app/?emd_id=emd-11698&amp;rise=2.94&amp;twist=35.32&amp;csym=1&amp;rise2=2.94&amp;twist2=35.32&amp;csym2=1", "Link")</f>
        <v/>
      </c>
    </row>
    <row r="878">
      <c r="A878" t="inlineStr">
        <is>
          <t>EMD-21148</t>
        </is>
      </c>
      <c r="B878" t="inlineStr">
        <is>
          <t>non-amyloid</t>
        </is>
      </c>
      <c r="C878" t="n">
        <v>3.6</v>
      </c>
      <c r="D878" t="n">
        <v>13.5</v>
      </c>
      <c r="E878" t="n">
        <v>48</v>
      </c>
      <c r="F878" t="inlineStr">
        <is>
          <t>C1</t>
        </is>
      </c>
      <c r="G878" t="inlineStr"/>
      <c r="H878" t="inlineStr"/>
      <c r="I878" t="inlineStr">
        <is>
          <t>C1</t>
        </is>
      </c>
      <c r="J878" t="inlineStr"/>
      <c r="K878" t="inlineStr"/>
      <c r="L878" t="n">
        <v>0.63063</v>
      </c>
      <c r="M878" t="n">
        <v>0.664660638</v>
      </c>
      <c r="N878" t="inlineStr">
        <is>
          <t>Excluded</t>
        </is>
      </c>
      <c r="O878" t="inlineStr">
        <is>
          <t>improve</t>
        </is>
      </c>
      <c r="P878" t="inlineStr">
        <is>
          <t>focus reconstruction</t>
        </is>
      </c>
      <c r="Q878" t="inlineStr"/>
      <c r="R878" t="inlineStr"/>
      <c r="S878">
        <f>HYPERLINK("https://helical-indexing-hi3d.streamlit.app/?emd_id=emd-21148&amp;rise=nan&amp;twist=nan&amp;csym=1&amp;rise2=13.5&amp;twist2=48.0&amp;csym2=1", "Link")</f>
        <v/>
      </c>
    </row>
    <row r="879">
      <c r="A879" t="inlineStr">
        <is>
          <t>EMD-30085</t>
        </is>
      </c>
      <c r="B879" t="inlineStr">
        <is>
          <t>non-amyloid</t>
        </is>
      </c>
      <c r="C879" t="n">
        <v>3.6</v>
      </c>
      <c r="D879" t="n">
        <v>27.5</v>
      </c>
      <c r="E879" t="n">
        <v>-166.6</v>
      </c>
      <c r="F879" t="inlineStr">
        <is>
          <t>C1</t>
        </is>
      </c>
      <c r="G879" t="inlineStr">
        <is>
          <t>27.83787748</t>
        </is>
      </c>
      <c r="H879" t="n">
        <v>-166.7214977</v>
      </c>
      <c r="I879" t="inlineStr">
        <is>
          <t>C1</t>
        </is>
      </c>
      <c r="J879" t="n">
        <v>0.3390068435369851</v>
      </c>
      <c r="K879" t="inlineStr"/>
      <c r="L879" t="n">
        <v>0.83444</v>
      </c>
      <c r="M879" t="n">
        <v>0.905363872</v>
      </c>
      <c r="N879" t="inlineStr">
        <is>
          <t>Yes</t>
        </is>
      </c>
      <c r="O879" t="inlineStr">
        <is>
          <t>improve</t>
        </is>
      </c>
      <c r="P879" t="inlineStr">
        <is>
          <t>adjusted decimals</t>
        </is>
      </c>
      <c r="Q879" t="inlineStr"/>
      <c r="R879" t="inlineStr"/>
      <c r="S879">
        <f>HYPERLINK("https://helical-indexing-hi3d.streamlit.app/?emd_id=emd-30085&amp;rise=27.83787748&amp;twist=-166.7214977&amp;csym=1&amp;rise2=27.5&amp;twist2=-166.6&amp;csym2=1", "Link")</f>
        <v/>
      </c>
    </row>
    <row r="880">
      <c r="A880" t="inlineStr">
        <is>
          <t>EMD-30179</t>
        </is>
      </c>
      <c r="B880" t="inlineStr">
        <is>
          <t>non-amyloid</t>
        </is>
      </c>
      <c r="C880" t="n">
        <v>3.6</v>
      </c>
      <c r="D880" t="n">
        <v>27.89</v>
      </c>
      <c r="E880" t="n">
        <v>-167</v>
      </c>
      <c r="F880" t="inlineStr">
        <is>
          <t>C1</t>
        </is>
      </c>
      <c r="G880" t="inlineStr">
        <is>
          <t>27.89</t>
        </is>
      </c>
      <c r="H880" t="n">
        <v>-167</v>
      </c>
      <c r="I880" t="inlineStr">
        <is>
          <t>C1</t>
        </is>
      </c>
      <c r="J880" t="n">
        <v>0</v>
      </c>
      <c r="K880" t="inlineStr"/>
      <c r="L880" t="n">
        <v>0.9076</v>
      </c>
      <c r="M880" t="n">
        <v>0.9076</v>
      </c>
      <c r="N880" t="inlineStr">
        <is>
          <t>Yes</t>
        </is>
      </c>
      <c r="O880" t="inlineStr">
        <is>
          <t>equal</t>
        </is>
      </c>
      <c r="P880" t="inlineStr">
        <is>
          <t>deposited</t>
        </is>
      </c>
      <c r="Q880" t="inlineStr"/>
      <c r="R880" t="inlineStr"/>
      <c r="S880">
        <f>HYPERLINK("https://helical-indexing-hi3d.streamlit.app/?emd_id=emd-30179&amp;rise=27.89&amp;twist=-167.0&amp;csym=1&amp;rise2=27.89&amp;twist2=-167.0&amp;csym2=1", "Link")</f>
        <v/>
      </c>
    </row>
    <row r="881">
      <c r="A881" t="inlineStr">
        <is>
          <t>EMD-2838</t>
        </is>
      </c>
      <c r="B881" t="inlineStr">
        <is>
          <t>non-amyloid</t>
        </is>
      </c>
      <c r="C881" t="n">
        <v>3.6</v>
      </c>
      <c r="D881" t="n">
        <v>1.408</v>
      </c>
      <c r="E881" t="n">
        <v>22.03</v>
      </c>
      <c r="F881" t="inlineStr">
        <is>
          <t>C1</t>
        </is>
      </c>
      <c r="G881" t="inlineStr">
        <is>
          <t>1.408</t>
        </is>
      </c>
      <c r="H881" t="n">
        <v>22.03</v>
      </c>
      <c r="I881" t="inlineStr">
        <is>
          <t>C1</t>
        </is>
      </c>
      <c r="J881" t="n">
        <v>0</v>
      </c>
      <c r="K881" t="inlineStr"/>
      <c r="L881" t="n">
        <v>0.99559</v>
      </c>
      <c r="M881" t="n">
        <v>0.99559</v>
      </c>
      <c r="N881" t="inlineStr">
        <is>
          <t>Yes</t>
        </is>
      </c>
      <c r="O881" t="inlineStr">
        <is>
          <t>equal</t>
        </is>
      </c>
      <c r="P881" t="inlineStr">
        <is>
          <t>deposited</t>
        </is>
      </c>
      <c r="Q881" t="inlineStr"/>
      <c r="R881" t="inlineStr"/>
      <c r="S881">
        <f>HYPERLINK("https://helical-indexing-hi3d.streamlit.app/?emd_id=emd-2838&amp;rise=1.408&amp;twist=22.03&amp;csym=1&amp;rise2=1.408&amp;twist2=22.03&amp;csym2=1", "Link")</f>
        <v/>
      </c>
    </row>
    <row r="882">
      <c r="A882" t="inlineStr">
        <is>
          <t>EMD-7102</t>
        </is>
      </c>
      <c r="B882" t="inlineStr">
        <is>
          <t>microtubule</t>
        </is>
      </c>
      <c r="C882" t="n">
        <v>3.6</v>
      </c>
      <c r="D882" t="n">
        <v>9.039999999999999</v>
      </c>
      <c r="E882" t="n">
        <v>-25.74</v>
      </c>
      <c r="F882" t="inlineStr">
        <is>
          <t>C1</t>
        </is>
      </c>
      <c r="G882" t="inlineStr">
        <is>
          <t>84.18</t>
        </is>
      </c>
      <c r="H882" t="n">
        <v>-0.23</v>
      </c>
      <c r="I882" t="inlineStr">
        <is>
          <t>C1</t>
        </is>
      </c>
      <c r="J882" t="n">
        <v>75.33986980335867</v>
      </c>
      <c r="K882" t="inlineStr"/>
      <c r="L882" t="n">
        <v>0.638013052</v>
      </c>
      <c r="M882" t="n">
        <v>0.727329873</v>
      </c>
      <c r="N882" t="inlineStr">
        <is>
          <t>No</t>
        </is>
      </c>
      <c r="O882" t="inlineStr">
        <is>
          <t>improve</t>
        </is>
      </c>
      <c r="P882" t="inlineStr">
        <is>
          <t>different</t>
        </is>
      </c>
      <c r="Q882" t="inlineStr">
        <is>
          <t>wrong</t>
        </is>
      </c>
      <c r="R882" t="inlineStr"/>
      <c r="S882">
        <f>HYPERLINK("https://helical-indexing-hi3d.streamlit.app/?emd_id=emd-7102&amp;rise=84.18&amp;twist=-0.23&amp;csym=1&amp;rise2=9.04&amp;twist2=-25.74&amp;csym2=1", "Link")</f>
        <v/>
      </c>
    </row>
    <row r="883">
      <c r="A883" t="inlineStr">
        <is>
          <t>EMD-11312</t>
        </is>
      </c>
      <c r="B883" t="inlineStr">
        <is>
          <t>non-amyloid</t>
        </is>
      </c>
      <c r="C883" t="n">
        <v>3.6</v>
      </c>
      <c r="D883" t="n">
        <v>4.322</v>
      </c>
      <c r="E883" t="n">
        <v>64.3</v>
      </c>
      <c r="F883" t="inlineStr">
        <is>
          <t>C1</t>
        </is>
      </c>
      <c r="G883" t="inlineStr">
        <is>
          <t>4.307949088</t>
        </is>
      </c>
      <c r="H883" t="n">
        <v>64.02490688</v>
      </c>
      <c r="I883" t="inlineStr">
        <is>
          <t>C1</t>
        </is>
      </c>
      <c r="J883" t="n">
        <v>0.039620796</v>
      </c>
      <c r="K883" t="inlineStr"/>
      <c r="L883" t="n">
        <v>0.63851</v>
      </c>
      <c r="M883" t="n">
        <v>0.938150879</v>
      </c>
      <c r="N883" t="inlineStr">
        <is>
          <t>Yes</t>
        </is>
      </c>
      <c r="O883" t="inlineStr">
        <is>
          <t>improve</t>
        </is>
      </c>
      <c r="P883" t="inlineStr">
        <is>
          <t>adjusted decimals</t>
        </is>
      </c>
      <c r="Q883" t="inlineStr"/>
      <c r="R883" t="inlineStr"/>
      <c r="S883">
        <f>HYPERLINK("https://helical-indexing-hi3d.streamlit.app/?emd_id=emd-11312&amp;rise=4.307949088&amp;twist=64.02490688&amp;csym=1&amp;rise2=4.322&amp;twist2=64.3&amp;csym2=1", "Link")</f>
        <v/>
      </c>
    </row>
    <row r="884">
      <c r="A884" t="inlineStr">
        <is>
          <t>EMD-11311</t>
        </is>
      </c>
      <c r="B884" t="inlineStr">
        <is>
          <t>non-amyloid</t>
        </is>
      </c>
      <c r="C884" t="n">
        <v>3.6</v>
      </c>
      <c r="D884" t="n">
        <v>4.2</v>
      </c>
      <c r="E884" t="n">
        <v>64.3</v>
      </c>
      <c r="F884" t="inlineStr">
        <is>
          <t>C1</t>
        </is>
      </c>
      <c r="G884" t="inlineStr">
        <is>
          <t>4.39645224</t>
        </is>
      </c>
      <c r="H884" t="n">
        <v>63.35471598</v>
      </c>
      <c r="I884" t="inlineStr">
        <is>
          <t>C1</t>
        </is>
      </c>
      <c r="J884" t="n">
        <v>0.266102337250421</v>
      </c>
      <c r="K884" t="inlineStr"/>
      <c r="L884" t="n">
        <v>0.15149</v>
      </c>
      <c r="M884" t="n">
        <v>0.942737763</v>
      </c>
      <c r="N884" t="inlineStr">
        <is>
          <t>Yes</t>
        </is>
      </c>
      <c r="O884" t="inlineStr">
        <is>
          <t>improve</t>
        </is>
      </c>
      <c r="P884" t="inlineStr">
        <is>
          <t>adjusted decimals</t>
        </is>
      </c>
      <c r="Q884" t="inlineStr"/>
      <c r="R884" t="inlineStr"/>
      <c r="S884">
        <f>HYPERLINK("https://helical-indexing-hi3d.streamlit.app/?emd_id=emd-11311&amp;rise=4.39645224&amp;twist=63.35471598&amp;csym=1&amp;rise2=4.2&amp;twist2=64.3&amp;csym2=1", "Link")</f>
        <v/>
      </c>
    </row>
    <row r="885">
      <c r="A885" t="inlineStr">
        <is>
          <t>EMD-10226</t>
        </is>
      </c>
      <c r="B885" t="inlineStr">
        <is>
          <t>non-amyloid</t>
        </is>
      </c>
      <c r="C885" t="n">
        <v>3.6</v>
      </c>
      <c r="D885" t="n">
        <v>7.11</v>
      </c>
      <c r="E885" t="n">
        <v>138.14</v>
      </c>
      <c r="F885" t="inlineStr">
        <is>
          <t>C1</t>
        </is>
      </c>
      <c r="G885" t="inlineStr"/>
      <c r="H885" t="inlineStr"/>
      <c r="I885" t="inlineStr">
        <is>
          <t>C1</t>
        </is>
      </c>
      <c r="J885" t="inlineStr"/>
      <c r="K885" t="inlineStr"/>
      <c r="L885" t="n">
        <v>0.20878</v>
      </c>
      <c r="M885" t="inlineStr"/>
      <c r="N885" t="inlineStr">
        <is>
          <t>No</t>
        </is>
      </c>
      <c r="O885" t="inlineStr"/>
      <c r="P885" t="inlineStr">
        <is>
          <t>single unit</t>
        </is>
      </c>
      <c r="Q885" t="inlineStr"/>
      <c r="R885" t="inlineStr"/>
      <c r="S885">
        <f>HYPERLINK("https://helical-indexing-hi3d.streamlit.app/?emd_id=emd-10226&amp;rise=nan&amp;twist=nan&amp;csym=1&amp;rise2=7.11&amp;twist2=138.14&amp;csym2=1", "Link")</f>
        <v/>
      </c>
    </row>
    <row r="886">
      <c r="A886" t="inlineStr">
        <is>
          <t>EMD-7938</t>
        </is>
      </c>
      <c r="B886" t="inlineStr">
        <is>
          <t>non-amyloid</t>
        </is>
      </c>
      <c r="C886" t="n">
        <v>3.6</v>
      </c>
      <c r="D886" t="n">
        <v>27.45</v>
      </c>
      <c r="E886" t="n">
        <v>-166.55</v>
      </c>
      <c r="F886" t="inlineStr">
        <is>
          <t>C1</t>
        </is>
      </c>
      <c r="G886" t="inlineStr">
        <is>
          <t>27.49034591</t>
        </is>
      </c>
      <c r="H886" t="n">
        <v>-166.596596</v>
      </c>
      <c r="I886" t="inlineStr">
        <is>
          <t>C1</t>
        </is>
      </c>
      <c r="J886" t="n">
        <v>0.042333409</v>
      </c>
      <c r="K886" t="inlineStr"/>
      <c r="L886" t="n">
        <v>0.89608</v>
      </c>
      <c r="M886" t="n">
        <v>0.898647772</v>
      </c>
      <c r="N886" t="inlineStr">
        <is>
          <t>Yes</t>
        </is>
      </c>
      <c r="O886" t="inlineStr">
        <is>
          <t>improve</t>
        </is>
      </c>
      <c r="P886" t="inlineStr">
        <is>
          <t>adjusted decimals</t>
        </is>
      </c>
      <c r="Q886" t="inlineStr"/>
      <c r="R886" t="inlineStr"/>
      <c r="S886">
        <f>HYPERLINK("https://helical-indexing-hi3d.streamlit.app/?emd_id=emd-7938&amp;rise=27.49034591&amp;twist=-166.596596&amp;csym=1&amp;rise2=27.45&amp;twist2=-166.55&amp;csym2=1", "Link")</f>
        <v/>
      </c>
    </row>
    <row r="887">
      <c r="A887" t="inlineStr">
        <is>
          <t>EMD-31369</t>
        </is>
      </c>
      <c r="B887" t="inlineStr">
        <is>
          <t>non-amyloid</t>
        </is>
      </c>
      <c r="C887" t="n">
        <v>3.6</v>
      </c>
      <c r="D887" t="n">
        <v>3.4</v>
      </c>
      <c r="E887" t="n">
        <v>-26.8</v>
      </c>
      <c r="F887" t="inlineStr">
        <is>
          <t>C1</t>
        </is>
      </c>
      <c r="G887" t="inlineStr">
        <is>
          <t>3.34835646</t>
        </is>
      </c>
      <c r="H887" t="n">
        <v>-26.80281396</v>
      </c>
      <c r="I887" t="inlineStr">
        <is>
          <t>C1</t>
        </is>
      </c>
      <c r="J887" t="n">
        <v>0.05169358</v>
      </c>
      <c r="K887" t="inlineStr"/>
      <c r="L887" t="n">
        <v>0.680257344</v>
      </c>
      <c r="M887" t="n">
        <v>0.797572137</v>
      </c>
      <c r="N887" t="inlineStr">
        <is>
          <t>Yes</t>
        </is>
      </c>
      <c r="O887" t="inlineStr">
        <is>
          <t>improve</t>
        </is>
      </c>
      <c r="P887" t="inlineStr">
        <is>
          <t>adjusted decimals</t>
        </is>
      </c>
      <c r="Q887" t="inlineStr"/>
      <c r="R887" t="inlineStr"/>
      <c r="S887">
        <f>HYPERLINK("https://helical-indexing-hi3d.streamlit.app/?emd_id=emd-31369&amp;rise=3.34835646&amp;twist=-26.80281396&amp;csym=1&amp;rise2=3.4&amp;twist2=-26.8&amp;csym2=1", "Link")</f>
        <v/>
      </c>
    </row>
    <row r="888">
      <c r="A888" t="inlineStr">
        <is>
          <t>EMD-6903</t>
        </is>
      </c>
      <c r="B888" t="inlineStr">
        <is>
          <t>non-amyloid</t>
        </is>
      </c>
      <c r="C888" t="n">
        <v>3.6</v>
      </c>
      <c r="D888" t="inlineStr"/>
      <c r="E888" t="inlineStr"/>
      <c r="F888" t="inlineStr"/>
      <c r="G888" t="inlineStr">
        <is>
          <t>3.02</t>
        </is>
      </c>
      <c r="H888" t="n">
        <v>-14.73</v>
      </c>
      <c r="I888" t="inlineStr">
        <is>
          <t>Cnan</t>
        </is>
      </c>
      <c r="J888" t="inlineStr"/>
      <c r="K888" t="inlineStr">
        <is>
          <t> </t>
        </is>
      </c>
      <c r="L888" t="inlineStr"/>
      <c r="M888" t="n">
        <v>0.9183647109999999</v>
      </c>
      <c r="N888" t="inlineStr">
        <is>
          <t>Yes</t>
        </is>
      </c>
      <c r="O888" t="inlineStr">
        <is>
          <t>improve</t>
        </is>
      </c>
      <c r="P888" t="inlineStr">
        <is>
          <t>no EMDB values</t>
        </is>
      </c>
      <c r="Q888" t="inlineStr"/>
      <c r="R888" t="inlineStr"/>
      <c r="S888" t="inlineStr"/>
    </row>
    <row r="889">
      <c r="A889" t="inlineStr">
        <is>
          <t>EMD-23636</t>
        </is>
      </c>
      <c r="B889" t="inlineStr">
        <is>
          <t>non-amyloid</t>
        </is>
      </c>
      <c r="C889" t="n">
        <v>3.6</v>
      </c>
      <c r="D889" t="n">
        <v>0.01</v>
      </c>
      <c r="E889" t="n">
        <v>0</v>
      </c>
      <c r="F889" t="inlineStr">
        <is>
          <t>C1</t>
        </is>
      </c>
      <c r="G889" t="inlineStr"/>
      <c r="H889" t="inlineStr"/>
      <c r="I889" t="inlineStr">
        <is>
          <t>C1</t>
        </is>
      </c>
      <c r="J889" t="inlineStr"/>
      <c r="K889" t="inlineStr"/>
      <c r="L889" t="inlineStr"/>
      <c r="M889" t="inlineStr"/>
      <c r="N889" t="inlineStr">
        <is>
          <t>Excluded</t>
        </is>
      </c>
      <c r="O889" t="inlineStr">
        <is>
          <t>equal</t>
        </is>
      </c>
      <c r="P889" t="inlineStr">
        <is>
          <t>focus reconstruction</t>
        </is>
      </c>
      <c r="Q889" t="inlineStr"/>
      <c r="R889" t="inlineStr"/>
      <c r="S889">
        <f>HYPERLINK("https://helical-indexing-hi3d.streamlit.app/?emd_id=emd-23636&amp;rise=nan&amp;twist=nan&amp;csym=1&amp;rise2=0.01&amp;twist2=0.0&amp;csym2=1", "Link")</f>
        <v/>
      </c>
    </row>
    <row r="890">
      <c r="A890" t="inlineStr">
        <is>
          <t>EMD-30265</t>
        </is>
      </c>
      <c r="B890" t="inlineStr">
        <is>
          <t>non-amyloid</t>
        </is>
      </c>
      <c r="C890" t="n">
        <v>3.6</v>
      </c>
      <c r="D890" t="n">
        <v>3.36</v>
      </c>
      <c r="E890" t="n">
        <v>-26.8</v>
      </c>
      <c r="F890" t="inlineStr">
        <is>
          <t>C1</t>
        </is>
      </c>
      <c r="G890" t="inlineStr">
        <is>
          <t>3.34808014</t>
        </is>
      </c>
      <c r="H890" t="n">
        <v>-26.80262654</v>
      </c>
      <c r="I890" t="inlineStr">
        <is>
          <t>C1</t>
        </is>
      </c>
      <c r="J890" t="n">
        <v>0.0121073811684115</v>
      </c>
      <c r="K890" t="inlineStr"/>
      <c r="L890" t="n">
        <v>0.818464804</v>
      </c>
      <c r="M890" t="n">
        <v>0.826182759</v>
      </c>
      <c r="N890" t="inlineStr">
        <is>
          <t>Yes</t>
        </is>
      </c>
      <c r="O890" t="inlineStr">
        <is>
          <t>improve</t>
        </is>
      </c>
      <c r="P890" t="inlineStr">
        <is>
          <t>adjusted decimals</t>
        </is>
      </c>
      <c r="Q890" t="inlineStr"/>
      <c r="R890" t="inlineStr"/>
      <c r="S890">
        <f>HYPERLINK("https://helical-indexing-hi3d.streamlit.app/?emd_id=emd-30265&amp;rise=3.34808014&amp;twist=-26.80262654&amp;csym=1&amp;rise2=3.36&amp;twist2=-26.8&amp;csym2=1", "Link")</f>
        <v/>
      </c>
    </row>
    <row r="891">
      <c r="A891" t="inlineStr">
        <is>
          <t>EMD-6123</t>
        </is>
      </c>
      <c r="B891" t="inlineStr">
        <is>
          <t>non-amyloid</t>
        </is>
      </c>
      <c r="C891" t="n">
        <v>3.6</v>
      </c>
      <c r="D891" t="n">
        <v>2.2</v>
      </c>
      <c r="E891" t="n">
        <v>87.09999999999999</v>
      </c>
      <c r="F891" t="inlineStr">
        <is>
          <t>C1</t>
        </is>
      </c>
      <c r="G891" t="inlineStr">
        <is>
          <t>2.211786959</t>
        </is>
      </c>
      <c r="H891" t="n">
        <v>-87.08487934999999</v>
      </c>
      <c r="I891" t="inlineStr">
        <is>
          <t>C1</t>
        </is>
      </c>
      <c r="J891" t="n">
        <v>16.25008815918848</v>
      </c>
      <c r="K891" t="inlineStr"/>
      <c r="L891" t="n">
        <v>0.1691</v>
      </c>
      <c r="M891" t="n">
        <v>0.222590612</v>
      </c>
      <c r="N891" t="inlineStr">
        <is>
          <t>Excluded</t>
        </is>
      </c>
      <c r="O891" t="inlineStr">
        <is>
          <t>improve</t>
        </is>
      </c>
      <c r="P891" t="inlineStr">
        <is>
          <t>z-shifted</t>
        </is>
      </c>
      <c r="Q891" t="inlineStr"/>
      <c r="R891" t="inlineStr"/>
      <c r="S891">
        <f>HYPERLINK("https://helical-indexing-hi3d.streamlit.app/?emd_id=emd-6123&amp;rise=2.211786959&amp;twist=-87.08487935&amp;csym=1&amp;rise2=2.2&amp;twist2=87.1&amp;csym2=1", "Link")</f>
        <v/>
      </c>
    </row>
    <row r="892">
      <c r="A892" t="inlineStr">
        <is>
          <t>EMD-16098</t>
        </is>
      </c>
      <c r="B892" t="inlineStr">
        <is>
          <t>non-amyloid</t>
        </is>
      </c>
      <c r="C892" t="n">
        <v>3.6</v>
      </c>
      <c r="D892" t="n">
        <v>38.5</v>
      </c>
      <c r="E892" t="n">
        <v>23.1</v>
      </c>
      <c r="F892" t="inlineStr">
        <is>
          <t>C6</t>
        </is>
      </c>
      <c r="G892" t="inlineStr">
        <is>
          <t>17.206</t>
        </is>
      </c>
      <c r="H892" t="n">
        <v>-26.58</v>
      </c>
      <c r="I892" t="inlineStr">
        <is>
          <t>C6</t>
        </is>
      </c>
      <c r="J892" t="n">
        <v>22.88625282632359</v>
      </c>
      <c r="K892" t="inlineStr"/>
      <c r="L892" t="n">
        <v>0.34916</v>
      </c>
      <c r="M892" t="n">
        <v>0.88959</v>
      </c>
      <c r="N892" t="inlineStr">
        <is>
          <t>Yes</t>
        </is>
      </c>
      <c r="O892" t="inlineStr">
        <is>
          <t>improve</t>
        </is>
      </c>
      <c r="P892" t="inlineStr">
        <is>
          <t>paper mismatch</t>
        </is>
      </c>
      <c r="Q892" t="inlineStr"/>
      <c r="R892" t="inlineStr"/>
      <c r="S892">
        <f>HYPERLINK("https://helical-indexing-hi3d.streamlit.app/?emd_id=emd-16098&amp;rise=17.206&amp;twist=-26.58&amp;csym=6&amp;rise2=38.5&amp;twist2=23.1&amp;csym2=6", "Link")</f>
        <v/>
      </c>
    </row>
    <row r="893">
      <c r="A893" t="inlineStr">
        <is>
          <t>EMD-13727</t>
        </is>
      </c>
      <c r="B893" t="inlineStr">
        <is>
          <t>non-amyloid</t>
        </is>
      </c>
      <c r="C893" t="n">
        <v>3.6</v>
      </c>
      <c r="D893" t="n">
        <v>14.32</v>
      </c>
      <c r="E893" t="n">
        <v>54.88</v>
      </c>
      <c r="F893" t="inlineStr">
        <is>
          <t>C3</t>
        </is>
      </c>
      <c r="G893" t="inlineStr">
        <is>
          <t>14.30281752</t>
        </is>
      </c>
      <c r="H893" t="n">
        <v>54.89063355</v>
      </c>
      <c r="I893" t="inlineStr">
        <is>
          <t>C3</t>
        </is>
      </c>
      <c r="J893" t="n">
        <v>0.017370353</v>
      </c>
      <c r="K893" t="inlineStr"/>
      <c r="L893" t="n">
        <v>0.89414</v>
      </c>
      <c r="M893" t="n">
        <v>0.895679527</v>
      </c>
      <c r="N893" t="inlineStr">
        <is>
          <t>Yes</t>
        </is>
      </c>
      <c r="O893" t="inlineStr">
        <is>
          <t>improve</t>
        </is>
      </c>
      <c r="P893" t="inlineStr">
        <is>
          <t>adjusted decimals</t>
        </is>
      </c>
      <c r="Q893" t="inlineStr"/>
      <c r="R893" t="inlineStr"/>
      <c r="S893">
        <f>HYPERLINK("https://helical-indexing-hi3d.streamlit.app/?emd_id=emd-13727&amp;rise=14.30281752&amp;twist=54.89063355&amp;csym=3&amp;rise2=14.32&amp;twist2=54.88&amp;csym2=3", "Link")</f>
        <v/>
      </c>
    </row>
    <row r="894">
      <c r="A894" t="inlineStr">
        <is>
          <t>EMD-25211</t>
        </is>
      </c>
      <c r="B894" t="inlineStr">
        <is>
          <t>non-amyloid</t>
        </is>
      </c>
      <c r="C894" t="n">
        <v>3.6</v>
      </c>
      <c r="D894" t="n">
        <v>130.78</v>
      </c>
      <c r="E894" t="n">
        <v>9.68</v>
      </c>
      <c r="F894" t="inlineStr">
        <is>
          <t>C1</t>
        </is>
      </c>
      <c r="G894" t="inlineStr">
        <is>
          <t>9.678365577</t>
        </is>
      </c>
      <c r="H894" t="n">
        <v>130.7671971</v>
      </c>
      <c r="I894" t="inlineStr">
        <is>
          <t>C1</t>
        </is>
      </c>
      <c r="J894" t="n">
        <v>137.9215725059051</v>
      </c>
      <c r="K894" t="inlineStr">
        <is>
          <t> </t>
        </is>
      </c>
      <c r="L894" t="n">
        <v>0.5586759060000001</v>
      </c>
      <c r="M894" t="n">
        <v>0.98947007</v>
      </c>
      <c r="N894" t="inlineStr">
        <is>
          <t>Yes</t>
        </is>
      </c>
      <c r="O894" t="inlineStr">
        <is>
          <t>improve</t>
        </is>
      </c>
      <c r="P894" t="inlineStr">
        <is>
          <t>interchanged values</t>
        </is>
      </c>
      <c r="Q894" t="inlineStr"/>
      <c r="R894" t="inlineStr"/>
      <c r="S894">
        <f>HYPERLINK("https://helical-indexing-hi3d.streamlit.app/?emd_id=emd-25211&amp;rise=9.678365577&amp;twist=130.7671971&amp;csym=1&amp;rise2=130.78&amp;twist2=9.68&amp;csym2=1", "Link")</f>
        <v/>
      </c>
    </row>
    <row r="895">
      <c r="A895" t="inlineStr">
        <is>
          <t>EMD-14340</t>
        </is>
      </c>
      <c r="B895" t="inlineStr">
        <is>
          <t>non-amyloid</t>
        </is>
      </c>
      <c r="C895" t="n">
        <v>3.6</v>
      </c>
      <c r="D895" t="n">
        <v>0.525</v>
      </c>
      <c r="E895" t="n">
        <v>-3.874</v>
      </c>
      <c r="F895" t="inlineStr">
        <is>
          <t>C1</t>
        </is>
      </c>
      <c r="G895" t="inlineStr"/>
      <c r="H895" t="inlineStr"/>
      <c r="I895" t="inlineStr">
        <is>
          <t>C1</t>
        </is>
      </c>
      <c r="J895" t="inlineStr"/>
      <c r="K895" t="inlineStr"/>
      <c r="L895" t="inlineStr"/>
      <c r="M895" t="inlineStr"/>
      <c r="N895" t="inlineStr">
        <is>
          <t>No</t>
        </is>
      </c>
      <c r="O895" t="inlineStr">
        <is>
          <t>equal</t>
        </is>
      </c>
      <c r="P895" t="inlineStr">
        <is>
          <t>single unit</t>
        </is>
      </c>
      <c r="Q895" t="inlineStr"/>
      <c r="R895" t="inlineStr"/>
      <c r="S895">
        <f>HYPERLINK("https://helical-indexing-hi3d.streamlit.app/?emd_id=emd-14340&amp;rise=nan&amp;twist=nan&amp;csym=1&amp;rise2=0.525&amp;twist2=-3.874&amp;csym2=1", "Link")</f>
        <v/>
      </c>
    </row>
    <row r="896">
      <c r="A896" t="inlineStr">
        <is>
          <t>EMD-28270</t>
        </is>
      </c>
      <c r="B896" t="inlineStr">
        <is>
          <t>non-amyloid</t>
        </is>
      </c>
      <c r="C896" t="n">
        <v>3.6</v>
      </c>
      <c r="D896" t="n">
        <v>27.9</v>
      </c>
      <c r="E896" t="n">
        <v>166.8</v>
      </c>
      <c r="F896" t="inlineStr">
        <is>
          <t>C1</t>
        </is>
      </c>
      <c r="G896" t="inlineStr">
        <is>
          <t>27.93592125</t>
        </is>
      </c>
      <c r="H896" t="n">
        <v>-166.4594204</v>
      </c>
      <c r="I896" t="inlineStr">
        <is>
          <t>C1</t>
        </is>
      </c>
      <c r="J896" t="n">
        <v>12.38443440585889</v>
      </c>
      <c r="K896" t="inlineStr">
        <is>
          <t> </t>
        </is>
      </c>
      <c r="L896" t="n">
        <v>0.447132211</v>
      </c>
      <c r="M896" t="n">
        <v>0.909811241</v>
      </c>
      <c r="N896" t="inlineStr">
        <is>
          <t>Yes</t>
        </is>
      </c>
      <c r="O896" t="inlineStr">
        <is>
          <t>improve</t>
        </is>
      </c>
      <c r="P896" t="inlineStr">
        <is>
          <t>twist sign</t>
        </is>
      </c>
      <c r="Q896" t="inlineStr"/>
      <c r="R896" t="inlineStr"/>
      <c r="S896">
        <f>HYPERLINK("https://helical-indexing-hi3d.streamlit.app/?emd_id=emd-28270&amp;rise=27.93592125&amp;twist=-166.4594204&amp;csym=1&amp;rise2=27.9&amp;twist2=166.8&amp;csym2=1", "Link")</f>
        <v/>
      </c>
    </row>
    <row r="897">
      <c r="A897" t="inlineStr">
        <is>
          <t>EMD-14631</t>
        </is>
      </c>
      <c r="B897" t="inlineStr">
        <is>
          <t>non-amyloid</t>
        </is>
      </c>
      <c r="C897" t="n">
        <v>3.6</v>
      </c>
      <c r="D897" t="n">
        <v>1.44</v>
      </c>
      <c r="E897" t="n">
        <v>57.049</v>
      </c>
      <c r="F897" t="inlineStr">
        <is>
          <t>C1</t>
        </is>
      </c>
      <c r="G897" t="inlineStr">
        <is>
          <t>1.436197392</t>
        </is>
      </c>
      <c r="H897" t="n">
        <v>57.04877892</v>
      </c>
      <c r="I897" t="inlineStr">
        <is>
          <t>C1</t>
        </is>
      </c>
      <c r="J897" t="n">
        <v>0.003803279</v>
      </c>
      <c r="K897" t="inlineStr"/>
      <c r="L897" t="n">
        <v>0.825221945</v>
      </c>
      <c r="M897" t="n">
        <v>0.826611276</v>
      </c>
      <c r="N897" t="inlineStr">
        <is>
          <t>Yes</t>
        </is>
      </c>
      <c r="O897" t="inlineStr">
        <is>
          <t>improve</t>
        </is>
      </c>
      <c r="P897" t="inlineStr">
        <is>
          <t>adjusted decimals</t>
        </is>
      </c>
      <c r="Q897" t="inlineStr"/>
      <c r="R897" t="inlineStr"/>
      <c r="S897">
        <f>HYPERLINK("https://helical-indexing-hi3d.streamlit.app/?emd_id=emd-14631&amp;rise=1.436197392&amp;twist=57.04877892&amp;csym=1&amp;rise2=1.44&amp;twist2=57.049&amp;csym2=1", "Link")</f>
        <v/>
      </c>
    </row>
    <row r="898">
      <c r="A898" t="inlineStr">
        <is>
          <t>EMD-3726</t>
        </is>
      </c>
      <c r="B898" t="inlineStr">
        <is>
          <t>microtubule</t>
        </is>
      </c>
      <c r="C898" t="n">
        <v>3.6</v>
      </c>
      <c r="D898" t="n">
        <v>79.31</v>
      </c>
      <c r="E898" t="n">
        <v>-5.54</v>
      </c>
      <c r="F898" t="inlineStr">
        <is>
          <t>C1</t>
        </is>
      </c>
      <c r="G898" t="inlineStr">
        <is>
          <t>79.31</t>
        </is>
      </c>
      <c r="H898" t="n">
        <v>-5.54</v>
      </c>
      <c r="I898" t="inlineStr">
        <is>
          <t>C1</t>
        </is>
      </c>
      <c r="J898" t="n">
        <v>0</v>
      </c>
      <c r="K898" t="inlineStr"/>
      <c r="L898" t="n">
        <v>0.90803</v>
      </c>
      <c r="M898" t="n">
        <v>0.90803</v>
      </c>
      <c r="N898" t="inlineStr">
        <is>
          <t>Yes</t>
        </is>
      </c>
      <c r="O898" t="inlineStr">
        <is>
          <t>equal</t>
        </is>
      </c>
      <c r="P898" t="inlineStr">
        <is>
          <t>deposited</t>
        </is>
      </c>
      <c r="Q898" t="inlineStr"/>
      <c r="R898" t="inlineStr"/>
      <c r="S898">
        <f>HYPERLINK("https://helical-indexing-hi3d.streamlit.app/?emd_id=emd-3726&amp;rise=79.31&amp;twist=-5.54&amp;csym=1&amp;rise2=79.31&amp;twist2=-5.54&amp;csym2=1", "Link")</f>
        <v/>
      </c>
    </row>
    <row r="899">
      <c r="A899" t="inlineStr">
        <is>
          <t>EMD-25157</t>
        </is>
      </c>
      <c r="B899" t="inlineStr">
        <is>
          <t>microtubule</t>
        </is>
      </c>
      <c r="C899" t="n">
        <v>3.6</v>
      </c>
      <c r="D899" t="n">
        <v>81.69</v>
      </c>
      <c r="E899" t="n">
        <v>-0.09</v>
      </c>
      <c r="F899" t="inlineStr">
        <is>
          <t>C1</t>
        </is>
      </c>
      <c r="G899" t="inlineStr">
        <is>
          <t>81.69</t>
        </is>
      </c>
      <c r="H899" t="n">
        <v>-0.09</v>
      </c>
      <c r="I899" t="inlineStr">
        <is>
          <t>C1</t>
        </is>
      </c>
      <c r="J899" t="n">
        <v>0</v>
      </c>
      <c r="K899" t="inlineStr"/>
      <c r="L899" t="n">
        <v>0.843570766</v>
      </c>
      <c r="M899" t="n">
        <v>0.843570766</v>
      </c>
      <c r="N899" t="inlineStr">
        <is>
          <t>Yes</t>
        </is>
      </c>
      <c r="O899" t="inlineStr">
        <is>
          <t>equal</t>
        </is>
      </c>
      <c r="P899" t="inlineStr">
        <is>
          <t>deposited</t>
        </is>
      </c>
      <c r="Q899" t="inlineStr"/>
      <c r="R899" t="inlineStr"/>
      <c r="S899">
        <f>HYPERLINK("https://helical-indexing-hi3d.streamlit.app/?emd_id=emd-25157&amp;rise=81.69&amp;twist=-0.09&amp;csym=1&amp;rise2=81.69&amp;twist2=-0.09&amp;csym2=1", "Link")</f>
        <v/>
      </c>
    </row>
    <row r="900">
      <c r="A900" t="inlineStr">
        <is>
          <t>EMD-16224</t>
        </is>
      </c>
      <c r="B900" t="inlineStr">
        <is>
          <t>non-amyloid</t>
        </is>
      </c>
      <c r="C900" t="n">
        <v>3.6</v>
      </c>
      <c r="D900" t="n">
        <v>18.6</v>
      </c>
      <c r="E900" t="n">
        <v>53.1</v>
      </c>
      <c r="F900" t="inlineStr">
        <is>
          <t>C1</t>
        </is>
      </c>
      <c r="G900" t="inlineStr"/>
      <c r="H900" t="inlineStr"/>
      <c r="I900" t="inlineStr">
        <is>
          <t>Cnan</t>
        </is>
      </c>
      <c r="J900" t="inlineStr"/>
      <c r="K900" t="inlineStr">
        <is>
          <t>z -&gt; x</t>
        </is>
      </c>
      <c r="L900" t="n">
        <v>0.42258</v>
      </c>
      <c r="M900" t="n">
        <v>0.041726506</v>
      </c>
      <c r="N900" t="inlineStr">
        <is>
          <t>Excluded</t>
        </is>
      </c>
      <c r="O900" t="inlineStr">
        <is>
          <t>worse</t>
        </is>
      </c>
      <c r="P900" t="inlineStr">
        <is>
          <t>focus reconstruction</t>
        </is>
      </c>
      <c r="Q900" t="inlineStr"/>
      <c r="R900" t="inlineStr"/>
      <c r="S900">
        <f>HYPERLINK("https://helical-indexing-hi3d.streamlit.app/?emd_id=emd-16224&amp;rise=nan&amp;twist=nan&amp;csym=nan&amp;rise2=18.6&amp;twist2=53.1&amp;csym2=1", "Link")</f>
        <v/>
      </c>
    </row>
    <row r="901">
      <c r="A901" t="inlineStr">
        <is>
          <t>EMD-13510</t>
        </is>
      </c>
      <c r="B901" t="inlineStr">
        <is>
          <t>non-amyloid</t>
        </is>
      </c>
      <c r="C901" t="n">
        <v>3.6</v>
      </c>
      <c r="D901" t="inlineStr"/>
      <c r="E901" t="inlineStr"/>
      <c r="F901" t="inlineStr"/>
      <c r="G901" t="inlineStr"/>
      <c r="H901" t="inlineStr"/>
      <c r="I901" t="inlineStr">
        <is>
          <t>C1</t>
        </is>
      </c>
      <c r="J901" t="inlineStr"/>
      <c r="K901" t="inlineStr"/>
      <c r="L901" t="inlineStr"/>
      <c r="M901" t="inlineStr"/>
      <c r="N901" t="inlineStr">
        <is>
          <t>No</t>
        </is>
      </c>
      <c r="O901" t="inlineStr"/>
      <c r="P901" t="inlineStr">
        <is>
          <t>single unit</t>
        </is>
      </c>
      <c r="Q901" t="inlineStr"/>
      <c r="R901" t="inlineStr"/>
      <c r="S901" t="inlineStr"/>
    </row>
    <row r="902">
      <c r="A902" t="inlineStr">
        <is>
          <t>EMD-13508</t>
        </is>
      </c>
      <c r="B902" t="inlineStr">
        <is>
          <t>non-amyloid</t>
        </is>
      </c>
      <c r="C902" t="n">
        <v>3.6</v>
      </c>
      <c r="D902" t="inlineStr"/>
      <c r="E902" t="inlineStr"/>
      <c r="F902" t="inlineStr"/>
      <c r="G902" t="inlineStr"/>
      <c r="H902" t="inlineStr"/>
      <c r="I902" t="inlineStr">
        <is>
          <t>C1</t>
        </is>
      </c>
      <c r="J902" t="inlineStr"/>
      <c r="K902" t="inlineStr"/>
      <c r="L902" t="inlineStr"/>
      <c r="M902" t="inlineStr"/>
      <c r="N902" t="inlineStr">
        <is>
          <t>No</t>
        </is>
      </c>
      <c r="O902" t="inlineStr"/>
      <c r="P902" t="inlineStr">
        <is>
          <t>single unit</t>
        </is>
      </c>
      <c r="Q902" t="inlineStr"/>
      <c r="R902" t="inlineStr"/>
      <c r="S902" t="inlineStr"/>
    </row>
    <row r="903">
      <c r="A903" t="inlineStr">
        <is>
          <t>EMD-25388</t>
        </is>
      </c>
      <c r="B903" t="inlineStr">
        <is>
          <t>non-amyloid</t>
        </is>
      </c>
      <c r="C903" t="n">
        <v>3.6</v>
      </c>
      <c r="D903" t="n">
        <v>130.78</v>
      </c>
      <c r="E903" t="n">
        <v>9.68</v>
      </c>
      <c r="F903" t="inlineStr">
        <is>
          <t>D1</t>
        </is>
      </c>
      <c r="G903" t="inlineStr">
        <is>
          <t>9.682370144</t>
        </is>
      </c>
      <c r="H903" t="n">
        <v>130.7744135</v>
      </c>
      <c r="I903" t="inlineStr">
        <is>
          <t>C1</t>
        </is>
      </c>
      <c r="J903" t="n">
        <v>124.128353561</v>
      </c>
      <c r="K903" t="inlineStr">
        <is>
          <t> </t>
        </is>
      </c>
      <c r="L903" t="n">
        <v>0.96022</v>
      </c>
      <c r="M903" t="n">
        <v>0.996485728</v>
      </c>
      <c r="N903" t="inlineStr">
        <is>
          <t>Yes</t>
        </is>
      </c>
      <c r="O903" t="inlineStr">
        <is>
          <t>improve</t>
        </is>
      </c>
      <c r="P903" t="inlineStr">
        <is>
          <t>interchanged values</t>
        </is>
      </c>
      <c r="Q903" t="inlineStr"/>
      <c r="R903" t="inlineStr"/>
      <c r="S903">
        <f>HYPERLINK("https://helical-indexing-hi3d.streamlit.app/?emd_id=emd-25388&amp;rise=9.682370144&amp;twist=130.7744135&amp;csym=1&amp;rise2=130.78&amp;twist2=9.68&amp;csym2=1", "Link")</f>
        <v/>
      </c>
    </row>
    <row r="904">
      <c r="A904" t="inlineStr">
        <is>
          <t>EMD-13505</t>
        </is>
      </c>
      <c r="B904" t="inlineStr">
        <is>
          <t>non-amyloid</t>
        </is>
      </c>
      <c r="C904" t="n">
        <v>3.6</v>
      </c>
      <c r="D904" t="inlineStr"/>
      <c r="E904" t="inlineStr"/>
      <c r="F904" t="inlineStr"/>
      <c r="G904" t="inlineStr"/>
      <c r="H904" t="inlineStr"/>
      <c r="I904" t="inlineStr">
        <is>
          <t>C1</t>
        </is>
      </c>
      <c r="J904" t="inlineStr"/>
      <c r="K904" t="inlineStr"/>
      <c r="L904" t="inlineStr"/>
      <c r="M904" t="inlineStr"/>
      <c r="N904" t="inlineStr">
        <is>
          <t>No</t>
        </is>
      </c>
      <c r="O904" t="inlineStr"/>
      <c r="P904" t="inlineStr">
        <is>
          <t>single unit</t>
        </is>
      </c>
      <c r="Q904" t="inlineStr"/>
      <c r="R904" t="inlineStr"/>
      <c r="S904" t="inlineStr"/>
    </row>
    <row r="905">
      <c r="A905" t="inlineStr">
        <is>
          <t>EMD-13527</t>
        </is>
      </c>
      <c r="B905" t="inlineStr">
        <is>
          <t>non-amyloid</t>
        </is>
      </c>
      <c r="C905" t="n">
        <v>3.6</v>
      </c>
      <c r="D905" t="inlineStr"/>
      <c r="E905" t="inlineStr"/>
      <c r="F905" t="inlineStr"/>
      <c r="G905" t="inlineStr"/>
      <c r="H905" t="inlineStr"/>
      <c r="I905" t="inlineStr">
        <is>
          <t>C1</t>
        </is>
      </c>
      <c r="J905" t="inlineStr"/>
      <c r="K905" t="inlineStr"/>
      <c r="L905" t="inlineStr"/>
      <c r="M905" t="inlineStr"/>
      <c r="N905" t="inlineStr">
        <is>
          <t>No</t>
        </is>
      </c>
      <c r="O905" t="inlineStr"/>
      <c r="P905" t="inlineStr">
        <is>
          <t>single unit</t>
        </is>
      </c>
      <c r="Q905" t="inlineStr"/>
      <c r="R905" t="inlineStr"/>
      <c r="S905" t="inlineStr"/>
    </row>
    <row r="906">
      <c r="A906" t="inlineStr">
        <is>
          <t>EMD-13526</t>
        </is>
      </c>
      <c r="B906" t="inlineStr">
        <is>
          <t>non-amyloid</t>
        </is>
      </c>
      <c r="C906" t="n">
        <v>3.6</v>
      </c>
      <c r="D906" t="inlineStr"/>
      <c r="E906" t="inlineStr"/>
      <c r="F906" t="inlineStr"/>
      <c r="G906" t="inlineStr"/>
      <c r="H906" t="inlineStr"/>
      <c r="I906" t="inlineStr">
        <is>
          <t>C1</t>
        </is>
      </c>
      <c r="J906" t="inlineStr"/>
      <c r="K906" t="inlineStr"/>
      <c r="L906" t="inlineStr"/>
      <c r="M906" t="inlineStr"/>
      <c r="N906" t="inlineStr">
        <is>
          <t>No</t>
        </is>
      </c>
      <c r="O906" t="inlineStr"/>
      <c r="P906" t="inlineStr">
        <is>
          <t>single unit</t>
        </is>
      </c>
      <c r="Q906" t="inlineStr"/>
      <c r="R906" t="inlineStr"/>
      <c r="S906" t="inlineStr"/>
    </row>
    <row r="907">
      <c r="A907" t="inlineStr">
        <is>
          <t>EMD-4042</t>
        </is>
      </c>
      <c r="B907" t="inlineStr">
        <is>
          <t>non-amyloid</t>
        </is>
      </c>
      <c r="C907" t="n">
        <v>3.6</v>
      </c>
      <c r="D907" t="n">
        <v>12.1</v>
      </c>
      <c r="E907" t="n">
        <v>28.2</v>
      </c>
      <c r="F907" t="inlineStr">
        <is>
          <t>C5</t>
        </is>
      </c>
      <c r="G907" t="inlineStr">
        <is>
          <t>12.14699806</t>
        </is>
      </c>
      <c r="H907" t="n">
        <v>28.15499447</v>
      </c>
      <c r="I907" t="inlineStr">
        <is>
          <t>C5</t>
        </is>
      </c>
      <c r="J907" t="n">
        <v>0.047953748</v>
      </c>
      <c r="K907" t="inlineStr"/>
      <c r="L907" t="n">
        <v>0.96504</v>
      </c>
      <c r="M907" t="n">
        <v>0.987171477</v>
      </c>
      <c r="N907" t="inlineStr">
        <is>
          <t>Yes</t>
        </is>
      </c>
      <c r="O907" t="inlineStr">
        <is>
          <t>improve</t>
        </is>
      </c>
      <c r="P907" t="inlineStr">
        <is>
          <t>adjusted decimals</t>
        </is>
      </c>
      <c r="Q907" t="inlineStr"/>
      <c r="R907" t="inlineStr"/>
      <c r="S907">
        <f>HYPERLINK("https://helical-indexing-hi3d.streamlit.app/?emd_id=emd-4042&amp;rise=12.14699806&amp;twist=28.15499447&amp;csym=5&amp;rise2=12.1&amp;twist2=28.2&amp;csym2=5", "Link")</f>
        <v/>
      </c>
    </row>
    <row r="908">
      <c r="A908" t="inlineStr">
        <is>
          <t>EMD-42830</t>
        </is>
      </c>
      <c r="B908" t="inlineStr">
        <is>
          <t>non-amyloid</t>
        </is>
      </c>
      <c r="C908" t="n">
        <v>3.6</v>
      </c>
      <c r="D908" t="n">
        <v>27.38</v>
      </c>
      <c r="E908" t="n">
        <v>-166.74</v>
      </c>
      <c r="F908" t="inlineStr">
        <is>
          <t>C1</t>
        </is>
      </c>
      <c r="G908" t="inlineStr">
        <is>
          <t>27.3530287</t>
        </is>
      </c>
      <c r="H908" t="n">
        <v>-166.7413708</v>
      </c>
      <c r="I908" t="inlineStr">
        <is>
          <t>C1</t>
        </is>
      </c>
      <c r="J908" t="n">
        <v>0.0269729751270706</v>
      </c>
      <c r="K908" t="inlineStr"/>
      <c r="L908" t="n">
        <v>0.86432</v>
      </c>
      <c r="M908" t="n">
        <v>0.865545105</v>
      </c>
      <c r="N908" t="inlineStr">
        <is>
          <t>Yes</t>
        </is>
      </c>
      <c r="O908" t="inlineStr">
        <is>
          <t>improve</t>
        </is>
      </c>
      <c r="P908" t="inlineStr">
        <is>
          <t>adjusted decimals</t>
        </is>
      </c>
      <c r="Q908" t="inlineStr"/>
      <c r="R908" t="inlineStr"/>
      <c r="S908">
        <f>HYPERLINK("https://helical-indexing-hi3d.streamlit.app/?emd_id=emd-42830&amp;rise=27.3530287&amp;twist=-166.7413708&amp;csym=1&amp;rise2=27.38&amp;twist2=-166.74&amp;csym2=1", "Link")</f>
        <v/>
      </c>
    </row>
    <row r="909">
      <c r="A909" t="inlineStr">
        <is>
          <t>EMD-20043</t>
        </is>
      </c>
      <c r="B909" t="inlineStr">
        <is>
          <t>non-amyloid</t>
        </is>
      </c>
      <c r="C909" t="n">
        <v>3.61</v>
      </c>
      <c r="D909" t="n">
        <v>4.19</v>
      </c>
      <c r="E909" t="n">
        <v>63.35</v>
      </c>
      <c r="F909" t="inlineStr">
        <is>
          <t>C1</t>
        </is>
      </c>
      <c r="G909" t="inlineStr">
        <is>
          <t>4.21102835</t>
        </is>
      </c>
      <c r="H909" t="n">
        <v>63.33826545</v>
      </c>
      <c r="I909" t="inlineStr">
        <is>
          <t>C1</t>
        </is>
      </c>
      <c r="J909" t="n">
        <v>0.0212398311744792</v>
      </c>
      <c r="K909" t="inlineStr"/>
      <c r="L909" t="n">
        <v>0.86935</v>
      </c>
      <c r="M909" t="n">
        <v>0.881887971</v>
      </c>
      <c r="N909" t="inlineStr">
        <is>
          <t>Yes</t>
        </is>
      </c>
      <c r="O909" t="inlineStr">
        <is>
          <t>improve</t>
        </is>
      </c>
      <c r="P909" t="inlineStr">
        <is>
          <t>adjusted decimals</t>
        </is>
      </c>
      <c r="Q909" t="inlineStr"/>
      <c r="R909" t="inlineStr"/>
      <c r="S909">
        <f>HYPERLINK("https://helical-indexing-hi3d.streamlit.app/?emd_id=emd-20043&amp;rise=4.21102835&amp;twist=63.33826545&amp;csym=1&amp;rise2=4.19&amp;twist2=63.35&amp;csym2=1", "Link")</f>
        <v/>
      </c>
    </row>
    <row r="910">
      <c r="A910" t="inlineStr">
        <is>
          <t>EMD-9997</t>
        </is>
      </c>
      <c r="B910" t="inlineStr">
        <is>
          <t>non-amyloid</t>
        </is>
      </c>
      <c r="C910" t="n">
        <v>3.62</v>
      </c>
      <c r="D910" t="n">
        <v>9.2219</v>
      </c>
      <c r="E910" t="n">
        <v>-25.7519</v>
      </c>
      <c r="F910" t="inlineStr">
        <is>
          <t>C1</t>
        </is>
      </c>
      <c r="G910" t="inlineStr"/>
      <c r="H910" t="inlineStr"/>
      <c r="I910" t="inlineStr">
        <is>
          <t>C1</t>
        </is>
      </c>
      <c r="J910" t="inlineStr"/>
      <c r="K910" t="inlineStr"/>
      <c r="L910" t="inlineStr"/>
      <c r="M910" t="inlineStr"/>
      <c r="N910" t="inlineStr">
        <is>
          <t>No</t>
        </is>
      </c>
      <c r="O910" t="inlineStr"/>
      <c r="P910" t="inlineStr">
        <is>
          <t>single unit</t>
        </is>
      </c>
      <c r="Q910" t="inlineStr"/>
      <c r="R910" t="inlineStr"/>
      <c r="S910">
        <f>HYPERLINK("https://helical-indexing-hi3d.streamlit.app/?emd_id=emd-9997&amp;rise=nan&amp;twist=nan&amp;csym=1&amp;rise2=9.2219&amp;twist2=-25.7519&amp;csym2=1", "Link")</f>
        <v/>
      </c>
    </row>
    <row r="911">
      <c r="A911" t="inlineStr">
        <is>
          <t>EMD-24399</t>
        </is>
      </c>
      <c r="B911" t="inlineStr">
        <is>
          <t>non-amyloid</t>
        </is>
      </c>
      <c r="C911" t="n">
        <v>3.63</v>
      </c>
      <c r="D911" t="n">
        <v>27.06</v>
      </c>
      <c r="E911" t="n">
        <v>-166.52</v>
      </c>
      <c r="F911" t="inlineStr">
        <is>
          <t>C1</t>
        </is>
      </c>
      <c r="G911" t="inlineStr">
        <is>
          <t>27.67773559</t>
        </is>
      </c>
      <c r="H911" t="n">
        <v>-166.099326</v>
      </c>
      <c r="I911" t="inlineStr">
        <is>
          <t>C1</t>
        </is>
      </c>
      <c r="J911" t="n">
        <v>0.6514261046121921</v>
      </c>
      <c r="K911" t="inlineStr"/>
      <c r="L911" t="n">
        <v>0.6403601249999999</v>
      </c>
      <c r="M911" t="n">
        <v>0.847736822</v>
      </c>
      <c r="N911" t="inlineStr">
        <is>
          <t>Yes</t>
        </is>
      </c>
      <c r="O911" t="inlineStr">
        <is>
          <t>improve</t>
        </is>
      </c>
      <c r="P911" t="inlineStr">
        <is>
          <t>adjusted decimals</t>
        </is>
      </c>
      <c r="Q911" t="inlineStr"/>
      <c r="R911" t="inlineStr"/>
      <c r="S911">
        <f>HYPERLINK("https://helical-indexing-hi3d.streamlit.app/?emd_id=emd-24399&amp;rise=27.67773559&amp;twist=-166.099326&amp;csym=1&amp;rise2=27.06&amp;twist2=-166.52&amp;csym2=1", "Link")</f>
        <v/>
      </c>
    </row>
    <row r="912">
      <c r="A912" t="inlineStr">
        <is>
          <t>EMD-5922</t>
        </is>
      </c>
      <c r="B912" t="inlineStr">
        <is>
          <t>non-amyloid</t>
        </is>
      </c>
      <c r="C912" t="n">
        <v>3.64</v>
      </c>
      <c r="D912" t="n">
        <v>5.13</v>
      </c>
      <c r="E912" t="n">
        <v>101.1</v>
      </c>
      <c r="F912" t="inlineStr">
        <is>
          <t>C1</t>
        </is>
      </c>
      <c r="G912" t="inlineStr">
        <is>
          <t>5.094338144</t>
        </is>
      </c>
      <c r="H912" t="n">
        <v>-101.0976807</v>
      </c>
      <c r="I912" t="inlineStr">
        <is>
          <t>C1</t>
        </is>
      </c>
      <c r="J912" t="n">
        <v>61.93548925597482</v>
      </c>
      <c r="K912" t="inlineStr">
        <is>
          <t> </t>
        </is>
      </c>
      <c r="L912" t="n">
        <v>0.5401899999999999</v>
      </c>
      <c r="M912" t="n">
        <v>0.9964187329999999</v>
      </c>
      <c r="N912" t="inlineStr">
        <is>
          <t>Yes</t>
        </is>
      </c>
      <c r="O912" t="inlineStr">
        <is>
          <t>improve</t>
        </is>
      </c>
      <c r="P912" t="inlineStr">
        <is>
          <t>twist sign</t>
        </is>
      </c>
      <c r="Q912" t="inlineStr"/>
      <c r="R912" t="inlineStr"/>
      <c r="S912">
        <f>HYPERLINK("https://helical-indexing-hi3d.streamlit.app/?emd_id=emd-5922&amp;rise=5.094338144&amp;twist=-101.0976807&amp;csym=1&amp;rise2=5.13&amp;twist2=101.1&amp;csym2=1", "Link")</f>
        <v/>
      </c>
    </row>
    <row r="913">
      <c r="A913" t="inlineStr">
        <is>
          <t>EMD-5925</t>
        </is>
      </c>
      <c r="B913" t="inlineStr">
        <is>
          <t>non-amyloid</t>
        </is>
      </c>
      <c r="C913" t="n">
        <v>3.64</v>
      </c>
      <c r="D913" t="n">
        <v>5.13</v>
      </c>
      <c r="E913" t="n">
        <v>101.1</v>
      </c>
      <c r="F913" t="inlineStr">
        <is>
          <t>C1</t>
        </is>
      </c>
      <c r="G913" t="inlineStr"/>
      <c r="H913" t="inlineStr"/>
      <c r="I913" t="inlineStr">
        <is>
          <t>C1</t>
        </is>
      </c>
      <c r="J913" t="inlineStr"/>
      <c r="K913" t="inlineStr"/>
      <c r="L913" t="inlineStr"/>
      <c r="M913" t="inlineStr"/>
      <c r="N913" t="inlineStr">
        <is>
          <t>No</t>
        </is>
      </c>
      <c r="O913" t="inlineStr"/>
      <c r="P913" t="inlineStr">
        <is>
          <t>single unit</t>
        </is>
      </c>
      <c r="Q913" t="inlineStr"/>
      <c r="R913" t="inlineStr"/>
      <c r="S913">
        <f>HYPERLINK("https://helical-indexing-hi3d.streamlit.app/?emd_id=emd-5925&amp;rise=nan&amp;twist=nan&amp;csym=1&amp;rise2=5.13&amp;twist2=101.1&amp;csym2=1", "Link")</f>
        <v/>
      </c>
    </row>
    <row r="914">
      <c r="A914" t="inlineStr">
        <is>
          <t>EMD-4062</t>
        </is>
      </c>
      <c r="B914" t="inlineStr">
        <is>
          <t>non-amyloid</t>
        </is>
      </c>
      <c r="C914" t="n">
        <v>3.64</v>
      </c>
      <c r="D914" t="n">
        <v>52.15</v>
      </c>
      <c r="E914" t="n">
        <v>23.77</v>
      </c>
      <c r="F914" t="inlineStr">
        <is>
          <t>C2</t>
        </is>
      </c>
      <c r="G914" t="inlineStr">
        <is>
          <t>52.10777945</t>
        </is>
      </c>
      <c r="H914" t="n">
        <v>23.89382261</v>
      </c>
      <c r="I914" t="inlineStr">
        <is>
          <t>C2</t>
        </is>
      </c>
      <c r="J914" t="n">
        <v>0.0469227378142554</v>
      </c>
      <c r="K914" t="inlineStr"/>
      <c r="L914" t="n">
        <v>0.92765</v>
      </c>
      <c r="M914" t="n">
        <v>0.929682424</v>
      </c>
      <c r="N914" t="inlineStr">
        <is>
          <t>Yes</t>
        </is>
      </c>
      <c r="O914" t="inlineStr">
        <is>
          <t>improve</t>
        </is>
      </c>
      <c r="P914" t="inlineStr">
        <is>
          <t>adjusted decimals</t>
        </is>
      </c>
      <c r="Q914" t="inlineStr"/>
      <c r="R914" t="inlineStr"/>
      <c r="S914">
        <f>HYPERLINK("https://helical-indexing-hi3d.streamlit.app/?emd_id=emd-4062&amp;rise=52.10777945&amp;twist=23.89382261&amp;csym=2&amp;rise2=52.15&amp;twist2=23.77&amp;csym2=2", "Link")</f>
        <v/>
      </c>
    </row>
    <row r="915">
      <c r="A915" t="inlineStr">
        <is>
          <t>EMD-13185</t>
        </is>
      </c>
      <c r="B915" t="inlineStr">
        <is>
          <t>non-amyloid</t>
        </is>
      </c>
      <c r="C915" t="n">
        <v>3.65</v>
      </c>
      <c r="D915" t="n">
        <v>5.84149</v>
      </c>
      <c r="E915" t="n">
        <v>48.5901</v>
      </c>
      <c r="F915" t="inlineStr">
        <is>
          <t>C1</t>
        </is>
      </c>
      <c r="G915" t="inlineStr"/>
      <c r="H915" t="inlineStr"/>
      <c r="I915" t="inlineStr">
        <is>
          <t>C1</t>
        </is>
      </c>
      <c r="J915" t="inlineStr"/>
      <c r="K915" t="inlineStr"/>
      <c r="L915" t="n">
        <v>0.673255551</v>
      </c>
      <c r="M915" t="n">
        <v>0.686114081</v>
      </c>
      <c r="N915" t="inlineStr">
        <is>
          <t>Excluded</t>
        </is>
      </c>
      <c r="O915" t="inlineStr">
        <is>
          <t>improve</t>
        </is>
      </c>
      <c r="P915" t="inlineStr">
        <is>
          <t>focus reconstruction</t>
        </is>
      </c>
      <c r="Q915" t="inlineStr"/>
      <c r="R915" t="inlineStr"/>
      <c r="S915">
        <f>HYPERLINK("https://helical-indexing-hi3d.streamlit.app/?emd_id=emd-13185&amp;rise=nan&amp;twist=nan&amp;csym=1&amp;rise2=5.84149&amp;twist2=48.5901&amp;csym2=1", "Link")</f>
        <v/>
      </c>
    </row>
    <row r="916">
      <c r="A916" t="inlineStr">
        <is>
          <t>EMD-8998</t>
        </is>
      </c>
      <c r="B916" t="inlineStr">
        <is>
          <t>microtubule</t>
        </is>
      </c>
      <c r="C916" t="n">
        <v>3.65</v>
      </c>
      <c r="D916" t="n">
        <v>8.759</v>
      </c>
      <c r="E916" t="n">
        <v>-25.71</v>
      </c>
      <c r="F916" t="inlineStr">
        <is>
          <t>C1</t>
        </is>
      </c>
      <c r="G916" t="inlineStr">
        <is>
          <t>82.04</t>
        </is>
      </c>
      <c r="H916" t="n">
        <v>0.03</v>
      </c>
      <c r="I916" t="inlineStr">
        <is>
          <t>C1</t>
        </is>
      </c>
      <c r="J916" t="n">
        <v>74.57195684569965</v>
      </c>
      <c r="K916" t="inlineStr"/>
      <c r="L916" t="n">
        <v>0.735841795</v>
      </c>
      <c r="M916" t="n">
        <v>0.837848752</v>
      </c>
      <c r="N916" t="inlineStr">
        <is>
          <t>Yes</t>
        </is>
      </c>
      <c r="O916" t="inlineStr">
        <is>
          <t>improve</t>
        </is>
      </c>
      <c r="P916" t="inlineStr">
        <is>
          <t>different</t>
        </is>
      </c>
      <c r="Q916" t="inlineStr"/>
      <c r="R916" t="inlineStr"/>
      <c r="S916">
        <f>HYPERLINK("https://helical-indexing-hi3d.streamlit.app/?emd_id=emd-8998&amp;rise=82.04&amp;twist=0.03&amp;csym=1&amp;rise2=8.759&amp;twist2=-25.71&amp;csym2=1", "Link")</f>
        <v/>
      </c>
    </row>
    <row r="917">
      <c r="A917" t="inlineStr">
        <is>
          <t>EMD-4338</t>
        </is>
      </c>
      <c r="B917" t="inlineStr">
        <is>
          <t>non-amyloid</t>
        </is>
      </c>
      <c r="C917" t="n">
        <v>3.68</v>
      </c>
      <c r="D917" t="n">
        <v>42.8438</v>
      </c>
      <c r="E917" t="n">
        <v>74.3022</v>
      </c>
      <c r="F917" t="inlineStr">
        <is>
          <t>C1</t>
        </is>
      </c>
      <c r="G917" t="inlineStr">
        <is>
          <t>42.8438</t>
        </is>
      </c>
      <c r="H917" t="n">
        <v>74.3022</v>
      </c>
      <c r="I917" t="inlineStr">
        <is>
          <t>C1</t>
        </is>
      </c>
      <c r="J917" t="n">
        <v>0</v>
      </c>
      <c r="K917" t="inlineStr"/>
      <c r="L917" t="n">
        <v>0.91659</v>
      </c>
      <c r="M917" t="n">
        <v>0.91659</v>
      </c>
      <c r="N917" t="inlineStr">
        <is>
          <t>Yes</t>
        </is>
      </c>
      <c r="O917" t="inlineStr">
        <is>
          <t>equal</t>
        </is>
      </c>
      <c r="P917" t="inlineStr">
        <is>
          <t>deposited</t>
        </is>
      </c>
      <c r="Q917" t="inlineStr"/>
      <c r="R917" t="inlineStr"/>
      <c r="S917">
        <f>HYPERLINK("https://helical-indexing-hi3d.streamlit.app/?emd_id=emd-4338&amp;rise=42.8438&amp;twist=74.3022&amp;csym=1&amp;rise2=42.8438&amp;twist2=74.3022&amp;csym2=1", "Link")</f>
        <v/>
      </c>
    </row>
    <row r="918">
      <c r="A918" t="inlineStr">
        <is>
          <t>EMD-15118</t>
        </is>
      </c>
      <c r="B918" t="inlineStr">
        <is>
          <t>microtubule</t>
        </is>
      </c>
      <c r="C918" t="n">
        <v>3.68</v>
      </c>
      <c r="D918" t="n">
        <v>9.460000000000001</v>
      </c>
      <c r="E918" t="n">
        <v>-27.67</v>
      </c>
      <c r="F918" t="inlineStr">
        <is>
          <t>C1</t>
        </is>
      </c>
      <c r="G918" t="inlineStr">
        <is>
          <t>3.15</t>
        </is>
      </c>
      <c r="H918" t="n">
        <v>110.78</v>
      </c>
      <c r="I918" t="inlineStr">
        <is>
          <t>C1</t>
        </is>
      </c>
      <c r="J918" t="n">
        <v>50.91949215894093</v>
      </c>
      <c r="K918" t="inlineStr"/>
      <c r="L918" t="n">
        <v>0.9298664089999999</v>
      </c>
      <c r="M918" t="n">
        <v>0.959326</v>
      </c>
      <c r="N918" t="inlineStr">
        <is>
          <t>Yes</t>
        </is>
      </c>
      <c r="O918" t="inlineStr">
        <is>
          <t>improve</t>
        </is>
      </c>
      <c r="P918" t="inlineStr">
        <is>
          <t>different</t>
        </is>
      </c>
      <c r="Q918" t="inlineStr">
        <is>
          <t>partial symmetry</t>
        </is>
      </c>
      <c r="R918" t="inlineStr"/>
      <c r="S918">
        <f>HYPERLINK("https://helical-indexing-hi3d.streamlit.app/?emd_id=emd-15118&amp;rise=3.15&amp;twist=110.78&amp;csym=1&amp;rise2=9.46&amp;twist2=-27.67&amp;csym2=1", "Link")</f>
        <v/>
      </c>
    </row>
    <row r="919">
      <c r="A919" t="inlineStr">
        <is>
          <t>EMD-17071</t>
        </is>
      </c>
      <c r="B919" t="inlineStr">
        <is>
          <t>non-amyloid</t>
        </is>
      </c>
      <c r="C919" t="n">
        <v>3.69</v>
      </c>
      <c r="D919" t="n">
        <v>5.906</v>
      </c>
      <c r="E919" t="n">
        <v>-48.196</v>
      </c>
      <c r="F919" t="inlineStr">
        <is>
          <t>C1</t>
        </is>
      </c>
      <c r="G919" t="inlineStr">
        <is>
          <t>5.906</t>
        </is>
      </c>
      <c r="H919" t="n">
        <v>-48.196</v>
      </c>
      <c r="I919" t="inlineStr">
        <is>
          <t>C1</t>
        </is>
      </c>
      <c r="J919" t="n">
        <v>0</v>
      </c>
      <c r="K919" t="inlineStr"/>
      <c r="L919" t="n">
        <v>0.96295</v>
      </c>
      <c r="M919" t="n">
        <v>0.96295</v>
      </c>
      <c r="N919" t="inlineStr">
        <is>
          <t>Yes</t>
        </is>
      </c>
      <c r="O919" t="inlineStr">
        <is>
          <t>equal</t>
        </is>
      </c>
      <c r="P919" t="inlineStr">
        <is>
          <t>deposited</t>
        </is>
      </c>
      <c r="Q919" t="inlineStr"/>
      <c r="R919" t="inlineStr"/>
      <c r="S919">
        <f>HYPERLINK("https://helical-indexing-hi3d.streamlit.app/?emd_id=emd-17071&amp;rise=5.906&amp;twist=-48.196&amp;csym=1&amp;rise2=5.906&amp;twist2=-48.196&amp;csym2=1", "Link")</f>
        <v/>
      </c>
    </row>
    <row r="920">
      <c r="A920" t="inlineStr">
        <is>
          <t>EMD-9046</t>
        </is>
      </c>
      <c r="B920" t="inlineStr">
        <is>
          <t>non-amyloid</t>
        </is>
      </c>
      <c r="C920" t="n">
        <v>3.7</v>
      </c>
      <c r="D920" t="n">
        <v>46.7</v>
      </c>
      <c r="E920" t="n">
        <v>-83.09999999999999</v>
      </c>
      <c r="F920" t="inlineStr">
        <is>
          <t>C1</t>
        </is>
      </c>
      <c r="G920" t="inlineStr">
        <is>
          <t>46.67106865</t>
        </is>
      </c>
      <c r="H920" t="n">
        <v>-83.18182579</v>
      </c>
      <c r="I920" t="inlineStr">
        <is>
          <t>C1</t>
        </is>
      </c>
      <c r="J920" t="n">
        <v>0.032334472</v>
      </c>
      <c r="K920" t="inlineStr"/>
      <c r="L920" t="n">
        <v>0.99087</v>
      </c>
      <c r="M920" t="n">
        <v>0.992224829</v>
      </c>
      <c r="N920" t="inlineStr">
        <is>
          <t>Yes</t>
        </is>
      </c>
      <c r="O920" t="inlineStr">
        <is>
          <t>improve</t>
        </is>
      </c>
      <c r="P920" t="inlineStr">
        <is>
          <t>adjusted decimals</t>
        </is>
      </c>
      <c r="Q920" t="inlineStr"/>
      <c r="R920" t="inlineStr"/>
      <c r="S920">
        <f>HYPERLINK("https://helical-indexing-hi3d.streamlit.app/?emd_id=emd-9046&amp;rise=46.67106865&amp;twist=-83.18182579&amp;csym=1&amp;rise2=46.7&amp;twist2=-83.1&amp;csym2=1", "Link")</f>
        <v/>
      </c>
    </row>
    <row r="921">
      <c r="A921" t="inlineStr">
        <is>
          <t>EMD-24591</t>
        </is>
      </c>
      <c r="B921" t="inlineStr">
        <is>
          <t>non-amyloid</t>
        </is>
      </c>
      <c r="C921" t="n">
        <v>3.7</v>
      </c>
      <c r="D921" t="n">
        <v>0.639</v>
      </c>
      <c r="E921" t="n">
        <v>-52.553</v>
      </c>
      <c r="F921" t="inlineStr">
        <is>
          <t>C1</t>
        </is>
      </c>
      <c r="G921" t="inlineStr">
        <is>
          <t>0.639</t>
        </is>
      </c>
      <c r="H921" t="n">
        <v>-52.553</v>
      </c>
      <c r="I921" t="inlineStr">
        <is>
          <t>C1</t>
        </is>
      </c>
      <c r="J921" t="n">
        <v>0</v>
      </c>
      <c r="K921" t="inlineStr"/>
      <c r="L921" t="n">
        <v>0.936133773</v>
      </c>
      <c r="M921" t="n">
        <v>0.936133773</v>
      </c>
      <c r="N921" t="inlineStr">
        <is>
          <t>Yes</t>
        </is>
      </c>
      <c r="O921" t="inlineStr">
        <is>
          <t>equal</t>
        </is>
      </c>
      <c r="P921" t="inlineStr">
        <is>
          <t>deposited</t>
        </is>
      </c>
      <c r="Q921" t="inlineStr"/>
      <c r="R921" t="inlineStr"/>
      <c r="S921">
        <f>HYPERLINK("https://helical-indexing-hi3d.streamlit.app/?emd_id=emd-24591&amp;rise=0.639&amp;twist=-52.553&amp;csym=1&amp;rise2=0.639&amp;twist2=-52.553&amp;csym2=1", "Link")</f>
        <v/>
      </c>
    </row>
    <row r="922">
      <c r="A922" t="inlineStr">
        <is>
          <t>EMD-0612</t>
        </is>
      </c>
      <c r="B922" t="inlineStr">
        <is>
          <t>microtubule</t>
        </is>
      </c>
      <c r="C922" t="n">
        <v>3.7</v>
      </c>
      <c r="D922" t="n">
        <v>9.300000000000001</v>
      </c>
      <c r="E922" t="n">
        <v>-27.7</v>
      </c>
      <c r="F922" t="inlineStr">
        <is>
          <t>C1</t>
        </is>
      </c>
      <c r="G922" t="inlineStr"/>
      <c r="H922" t="inlineStr"/>
      <c r="I922" t="inlineStr">
        <is>
          <t>C1</t>
        </is>
      </c>
      <c r="J922" t="inlineStr"/>
      <c r="K922" t="inlineStr"/>
      <c r="L922" t="inlineStr"/>
      <c r="M922" t="inlineStr"/>
      <c r="N922" t="inlineStr">
        <is>
          <t>No</t>
        </is>
      </c>
      <c r="O922" t="inlineStr"/>
      <c r="P922" t="inlineStr">
        <is>
          <t>single unit</t>
        </is>
      </c>
      <c r="Q922" t="inlineStr"/>
      <c r="R922" t="inlineStr"/>
      <c r="S922">
        <f>HYPERLINK("https://helical-indexing-hi3d.streamlit.app/?emd_id=emd-0612&amp;rise=nan&amp;twist=nan&amp;csym=1&amp;rise2=9.3&amp;twist2=-27.7&amp;csym2=1", "Link")</f>
        <v/>
      </c>
    </row>
    <row r="923">
      <c r="A923" t="inlineStr">
        <is>
          <t>EMD-20046</t>
        </is>
      </c>
      <c r="B923" t="inlineStr">
        <is>
          <t>non-amyloid</t>
        </is>
      </c>
      <c r="C923" t="n">
        <v>3.7</v>
      </c>
      <c r="D923" t="n">
        <v>4.24</v>
      </c>
      <c r="E923" t="n">
        <v>63.35</v>
      </c>
      <c r="F923" t="inlineStr">
        <is>
          <t>C1</t>
        </is>
      </c>
      <c r="G923" t="inlineStr">
        <is>
          <t>4.24</t>
        </is>
      </c>
      <c r="H923" t="n">
        <v>63.35</v>
      </c>
      <c r="I923" t="inlineStr">
        <is>
          <t>C1</t>
        </is>
      </c>
      <c r="J923" t="n">
        <v>0</v>
      </c>
      <c r="K923" t="inlineStr"/>
      <c r="L923" t="n">
        <v>0.91147</v>
      </c>
      <c r="M923" t="n">
        <v>0.91147</v>
      </c>
      <c r="N923" t="inlineStr">
        <is>
          <t>Yes</t>
        </is>
      </c>
      <c r="O923" t="inlineStr">
        <is>
          <t>equal</t>
        </is>
      </c>
      <c r="P923" t="inlineStr">
        <is>
          <t>deposited</t>
        </is>
      </c>
      <c r="Q923" t="inlineStr"/>
      <c r="R923" t="inlineStr"/>
      <c r="S923">
        <f>HYPERLINK("https://helical-indexing-hi3d.streamlit.app/?emd_id=emd-20046&amp;rise=4.24&amp;twist=63.35&amp;csym=1&amp;rise2=4.24&amp;twist2=63.35&amp;csym2=1", "Link")</f>
        <v/>
      </c>
    </row>
    <row r="924">
      <c r="A924" t="inlineStr">
        <is>
          <t>EMD-2834</t>
        </is>
      </c>
      <c r="B924" t="inlineStr">
        <is>
          <t>non-amyloid</t>
        </is>
      </c>
      <c r="C924" t="n">
        <v>3.7</v>
      </c>
      <c r="D924" t="n">
        <v>1.408</v>
      </c>
      <c r="E924" t="n">
        <v>22.03</v>
      </c>
      <c r="F924" t="inlineStr">
        <is>
          <t>C1</t>
        </is>
      </c>
      <c r="G924" t="inlineStr">
        <is>
          <t>1.408</t>
        </is>
      </c>
      <c r="H924" t="n">
        <v>22.03</v>
      </c>
      <c r="I924" t="inlineStr">
        <is>
          <t>C1</t>
        </is>
      </c>
      <c r="J924" t="n">
        <v>0</v>
      </c>
      <c r="K924" t="inlineStr"/>
      <c r="L924" t="n">
        <v>0.9956700000000001</v>
      </c>
      <c r="M924" t="n">
        <v>0.9956700000000001</v>
      </c>
      <c r="N924" t="inlineStr">
        <is>
          <t>Yes</t>
        </is>
      </c>
      <c r="O924" t="inlineStr">
        <is>
          <t>equal</t>
        </is>
      </c>
      <c r="P924" t="inlineStr">
        <is>
          <t>deposited</t>
        </is>
      </c>
      <c r="Q924" t="inlineStr"/>
      <c r="R924" t="inlineStr"/>
      <c r="S924">
        <f>HYPERLINK("https://helical-indexing-hi3d.streamlit.app/?emd_id=emd-2834&amp;rise=1.408&amp;twist=22.03&amp;csym=1&amp;rise2=1.408&amp;twist2=22.03&amp;csym2=1", "Link")</f>
        <v/>
      </c>
    </row>
    <row r="925">
      <c r="A925" t="inlineStr">
        <is>
          <t>EMD-8755</t>
        </is>
      </c>
      <c r="B925" t="inlineStr">
        <is>
          <t>microtubule</t>
        </is>
      </c>
      <c r="C925" t="n">
        <v>3.7</v>
      </c>
      <c r="D925" t="n">
        <v>10.4</v>
      </c>
      <c r="E925" t="n">
        <v>-29.85</v>
      </c>
      <c r="F925" t="inlineStr">
        <is>
          <t>C1</t>
        </is>
      </c>
      <c r="G925" t="inlineStr">
        <is>
          <t>10.4</t>
        </is>
      </c>
      <c r="H925" t="n">
        <v>-29.85</v>
      </c>
      <c r="I925" t="inlineStr">
        <is>
          <t>C1</t>
        </is>
      </c>
      <c r="J925" t="n">
        <v>0</v>
      </c>
      <c r="K925" t="inlineStr"/>
      <c r="L925" t="n">
        <v>0.889378386</v>
      </c>
      <c r="M925" t="n">
        <v>0.889378386</v>
      </c>
      <c r="N925" t="inlineStr">
        <is>
          <t>Yes</t>
        </is>
      </c>
      <c r="O925" t="inlineStr">
        <is>
          <t>equal</t>
        </is>
      </c>
      <c r="P925" t="inlineStr">
        <is>
          <t>deposited</t>
        </is>
      </c>
      <c r="Q925" t="inlineStr"/>
      <c r="R925" t="inlineStr"/>
      <c r="S925">
        <f>HYPERLINK("https://helical-indexing-hi3d.streamlit.app/?emd_id=emd-8755&amp;rise=10.4&amp;twist=-29.85&amp;csym=1&amp;rise2=10.4&amp;twist2=-29.85&amp;csym2=1", "Link")</f>
        <v/>
      </c>
    </row>
    <row r="926">
      <c r="A926" t="inlineStr">
        <is>
          <t>EMD-25117</t>
        </is>
      </c>
      <c r="B926" t="inlineStr">
        <is>
          <t>microtubule</t>
        </is>
      </c>
      <c r="C926" t="n">
        <v>3.7</v>
      </c>
      <c r="D926" t="n">
        <v>9.539999999999999</v>
      </c>
      <c r="E926" t="n">
        <v>-27.67</v>
      </c>
      <c r="F926" t="inlineStr">
        <is>
          <t>C1</t>
        </is>
      </c>
      <c r="G926" t="inlineStr">
        <is>
          <t>3.176549971</t>
        </is>
      </c>
      <c r="H926" t="n">
        <v>110.7740642</v>
      </c>
      <c r="I926" t="inlineStr">
        <is>
          <t>C1</t>
        </is>
      </c>
      <c r="J926" t="n">
        <v>28.2308543775726</v>
      </c>
      <c r="K926" t="inlineStr"/>
      <c r="L926" t="n">
        <v>0.797877306</v>
      </c>
      <c r="M926" t="n">
        <v>0.821690059</v>
      </c>
      <c r="N926" t="inlineStr">
        <is>
          <t>Yes</t>
        </is>
      </c>
      <c r="O926" t="inlineStr">
        <is>
          <t>improve</t>
        </is>
      </c>
      <c r="P926" t="inlineStr">
        <is>
          <t>different</t>
        </is>
      </c>
      <c r="Q926" t="inlineStr">
        <is>
          <t>partial symmetry</t>
        </is>
      </c>
      <c r="R926" t="inlineStr"/>
      <c r="S926">
        <f>HYPERLINK("https://helical-indexing-hi3d.streamlit.app/?emd_id=emd-25117&amp;rise=3.176549971&amp;twist=110.7740642&amp;csym=1&amp;rise2=9.54&amp;twist2=-27.67&amp;csym2=1", "Link")</f>
        <v/>
      </c>
    </row>
    <row r="927">
      <c r="A927" t="inlineStr">
        <is>
          <t>EMD-14354</t>
        </is>
      </c>
      <c r="B927" t="inlineStr">
        <is>
          <t>non-amyloid</t>
        </is>
      </c>
      <c r="C927" t="n">
        <v>3.7</v>
      </c>
      <c r="D927" t="n">
        <v>7.93</v>
      </c>
      <c r="E927" t="n">
        <v>138.925</v>
      </c>
      <c r="F927" t="inlineStr">
        <is>
          <t>C1</t>
        </is>
      </c>
      <c r="G927" t="inlineStr">
        <is>
          <t>7.93</t>
        </is>
      </c>
      <c r="H927" t="n">
        <v>138.925</v>
      </c>
      <c r="I927" t="inlineStr">
        <is>
          <t>C1</t>
        </is>
      </c>
      <c r="J927" t="n">
        <v>0</v>
      </c>
      <c r="K927" t="inlineStr"/>
      <c r="L927" t="n">
        <v>0.903818761</v>
      </c>
      <c r="M927" t="n">
        <v>0.903818761</v>
      </c>
      <c r="N927" t="inlineStr">
        <is>
          <t>Yes</t>
        </is>
      </c>
      <c r="O927" t="inlineStr">
        <is>
          <t>equal</t>
        </is>
      </c>
      <c r="P927" t="inlineStr">
        <is>
          <t>deposited</t>
        </is>
      </c>
      <c r="Q927" t="inlineStr"/>
      <c r="R927" t="inlineStr"/>
      <c r="S927">
        <f>HYPERLINK("https://helical-indexing-hi3d.streamlit.app/?emd_id=emd-14354&amp;rise=7.93&amp;twist=138.925&amp;csym=1&amp;rise2=7.93&amp;twist2=138.925&amp;csym2=1", "Link")</f>
        <v/>
      </c>
    </row>
    <row r="928">
      <c r="A928" t="inlineStr">
        <is>
          <t>EMD-14355</t>
        </is>
      </c>
      <c r="B928" t="inlineStr">
        <is>
          <t>non-amyloid</t>
        </is>
      </c>
      <c r="C928" t="n">
        <v>3.7</v>
      </c>
      <c r="D928" t="n">
        <v>31.11</v>
      </c>
      <c r="E928" t="n">
        <v>-23.975</v>
      </c>
      <c r="F928" t="inlineStr">
        <is>
          <t>D5</t>
        </is>
      </c>
      <c r="G928" t="inlineStr">
        <is>
          <t>31.02653842</t>
        </is>
      </c>
      <c r="H928" t="n">
        <v>-23.85558202</v>
      </c>
      <c r="I928" t="inlineStr">
        <is>
          <t>C5</t>
        </is>
      </c>
      <c r="J928" t="n">
        <v>0.1131465511583054</v>
      </c>
      <c r="K928" t="inlineStr"/>
      <c r="L928" t="n">
        <v>0.89431257</v>
      </c>
      <c r="M928" t="n">
        <v>0.909248763</v>
      </c>
      <c r="N928" t="inlineStr">
        <is>
          <t>Yes</t>
        </is>
      </c>
      <c r="O928" t="inlineStr">
        <is>
          <t>improve</t>
        </is>
      </c>
      <c r="P928" t="inlineStr">
        <is>
          <t>adjusted decimals</t>
        </is>
      </c>
      <c r="Q928" t="inlineStr"/>
      <c r="R928" t="inlineStr"/>
      <c r="S928">
        <f>HYPERLINK("https://helical-indexing-hi3d.streamlit.app/?emd_id=emd-14355&amp;rise=31.02653842&amp;twist=-23.85558202&amp;csym=5&amp;rise2=31.11&amp;twist2=-23.975&amp;csym2=5", "Link")</f>
        <v/>
      </c>
    </row>
    <row r="929">
      <c r="A929" t="inlineStr">
        <is>
          <t>EMD-13782</t>
        </is>
      </c>
      <c r="B929" t="inlineStr">
        <is>
          <t>non-amyloid</t>
        </is>
      </c>
      <c r="C929" t="n">
        <v>3.7</v>
      </c>
      <c r="D929" t="n">
        <v>1.408</v>
      </c>
      <c r="E929" t="n">
        <v>22.03</v>
      </c>
      <c r="F929" t="inlineStr">
        <is>
          <t>C1</t>
        </is>
      </c>
      <c r="G929" t="inlineStr">
        <is>
          <t>1.408</t>
        </is>
      </c>
      <c r="H929" t="n">
        <v>22.03</v>
      </c>
      <c r="I929" t="inlineStr">
        <is>
          <t>C1</t>
        </is>
      </c>
      <c r="J929" t="n">
        <v>0</v>
      </c>
      <c r="K929" t="inlineStr"/>
      <c r="L929" t="n">
        <v>0.927016327</v>
      </c>
      <c r="M929" t="n">
        <v>0.927016327</v>
      </c>
      <c r="N929" t="inlineStr">
        <is>
          <t>Yes</t>
        </is>
      </c>
      <c r="O929" t="inlineStr">
        <is>
          <t>equal</t>
        </is>
      </c>
      <c r="P929" t="inlineStr">
        <is>
          <t>deposited</t>
        </is>
      </c>
      <c r="Q929" t="inlineStr"/>
      <c r="R929" t="inlineStr"/>
      <c r="S929">
        <f>HYPERLINK("https://helical-indexing-hi3d.streamlit.app/?emd_id=emd-13782&amp;rise=1.408&amp;twist=22.03&amp;csym=1&amp;rise2=1.408&amp;twist2=22.03&amp;csym2=1", "Link")</f>
        <v/>
      </c>
    </row>
    <row r="930">
      <c r="A930" t="inlineStr">
        <is>
          <t>EMD-6266</t>
        </is>
      </c>
      <c r="B930" t="inlineStr">
        <is>
          <t>non-amyloid</t>
        </is>
      </c>
      <c r="C930" t="n">
        <v>3.7</v>
      </c>
      <c r="D930" t="n">
        <v>20.8</v>
      </c>
      <c r="E930" t="n">
        <v>33.4</v>
      </c>
      <c r="F930" t="inlineStr">
        <is>
          <t>C6</t>
        </is>
      </c>
      <c r="G930" t="inlineStr">
        <is>
          <t>20.75249346</t>
        </is>
      </c>
      <c r="H930" t="n">
        <v>26.58174131</v>
      </c>
      <c r="I930" t="inlineStr">
        <is>
          <t>C6</t>
        </is>
      </c>
      <c r="J930" t="n">
        <v>14.00979509977825</v>
      </c>
      <c r="K930" t="inlineStr"/>
      <c r="L930" t="n">
        <v>0.12568</v>
      </c>
      <c r="M930" t="n">
        <v>0.993206328</v>
      </c>
      <c r="N930" t="inlineStr">
        <is>
          <t>Yes</t>
        </is>
      </c>
      <c r="O930" t="inlineStr">
        <is>
          <t>improve</t>
        </is>
      </c>
      <c r="P930" t="inlineStr">
        <is>
          <t>twist sign</t>
        </is>
      </c>
      <c r="Q930" t="inlineStr"/>
      <c r="R930" t="inlineStr"/>
      <c r="S930">
        <f>HYPERLINK("https://helical-indexing-hi3d.streamlit.app/?emd_id=emd-6266&amp;rise=20.75249346&amp;twist=26.58174131&amp;csym=6&amp;rise2=20.8&amp;twist2=33.4&amp;csym2=6", "Link")</f>
        <v/>
      </c>
    </row>
    <row r="931">
      <c r="A931" t="inlineStr">
        <is>
          <t>EMD-3566</t>
        </is>
      </c>
      <c r="B931" t="inlineStr">
        <is>
          <t>non-amyloid</t>
        </is>
      </c>
      <c r="C931" t="n">
        <v>3.7</v>
      </c>
      <c r="D931" t="n">
        <v>37.8</v>
      </c>
      <c r="E931" t="n">
        <v>23.5</v>
      </c>
      <c r="F931" t="inlineStr">
        <is>
          <t>C6</t>
        </is>
      </c>
      <c r="G931" t="inlineStr">
        <is>
          <t>37.85474565</t>
        </is>
      </c>
      <c r="H931" t="n">
        <v>23.52748629</v>
      </c>
      <c r="I931" t="inlineStr">
        <is>
          <t>C6</t>
        </is>
      </c>
      <c r="J931" t="n">
        <v>0.0578692330526265</v>
      </c>
      <c r="K931" t="inlineStr"/>
      <c r="L931" t="n">
        <v>0.92222</v>
      </c>
      <c r="M931" t="n">
        <v>0.925905795</v>
      </c>
      <c r="N931" t="inlineStr">
        <is>
          <t>Yes</t>
        </is>
      </c>
      <c r="O931" t="inlineStr">
        <is>
          <t>improve</t>
        </is>
      </c>
      <c r="P931" t="inlineStr">
        <is>
          <t>adjusted decimals</t>
        </is>
      </c>
      <c r="Q931" t="inlineStr"/>
      <c r="R931" t="inlineStr"/>
      <c r="S931">
        <f>HYPERLINK("https://helical-indexing-hi3d.streamlit.app/?emd_id=emd-3566&amp;rise=37.85474565&amp;twist=23.52748629&amp;csym=6&amp;rise2=37.8&amp;twist2=23.5&amp;csym2=6", "Link")</f>
        <v/>
      </c>
    </row>
    <row r="932">
      <c r="A932" t="inlineStr">
        <is>
          <t>EMD-24593</t>
        </is>
      </c>
      <c r="B932" t="inlineStr">
        <is>
          <t>non-amyloid</t>
        </is>
      </c>
      <c r="C932" t="n">
        <v>3.7</v>
      </c>
      <c r="D932" t="n">
        <v>0.611</v>
      </c>
      <c r="E932" t="n">
        <v>50.35</v>
      </c>
      <c r="F932" t="inlineStr">
        <is>
          <t>C1</t>
        </is>
      </c>
      <c r="G932" t="inlineStr">
        <is>
          <t>26.29</t>
        </is>
      </c>
      <c r="H932" t="n">
        <v>5.03</v>
      </c>
      <c r="I932" t="inlineStr">
        <is>
          <t>C1</t>
        </is>
      </c>
      <c r="J932" t="n">
        <v>30.90954917</v>
      </c>
      <c r="K932" t="inlineStr"/>
      <c r="L932" t="n">
        <v>0.95983618</v>
      </c>
      <c r="M932" t="n">
        <v>0.95983618</v>
      </c>
      <c r="N932" t="inlineStr">
        <is>
          <t>Yes</t>
        </is>
      </c>
      <c r="O932" t="inlineStr">
        <is>
          <t>equal</t>
        </is>
      </c>
      <c r="P932" t="inlineStr">
        <is>
          <t>deposited</t>
        </is>
      </c>
      <c r="Q932" t="inlineStr"/>
      <c r="R932" t="inlineStr"/>
      <c r="S932">
        <f>HYPERLINK("https://helical-indexing-hi3d.streamlit.app/?emd_id=emd-24593&amp;rise=26.29&amp;twist=5.03&amp;csym=1&amp;rise2=0.611&amp;twist2=50.35&amp;csym2=1", "Link")</f>
        <v/>
      </c>
    </row>
    <row r="933">
      <c r="A933" t="inlineStr">
        <is>
          <t>EMD-9943</t>
        </is>
      </c>
      <c r="B933" t="inlineStr">
        <is>
          <t>non-amyloid</t>
        </is>
      </c>
      <c r="C933" t="n">
        <v>3.7</v>
      </c>
      <c r="D933" t="n">
        <v>5.36</v>
      </c>
      <c r="E933" t="n">
        <v>-100.821</v>
      </c>
      <c r="F933" t="inlineStr">
        <is>
          <t>C1</t>
        </is>
      </c>
      <c r="G933" t="inlineStr">
        <is>
          <t>5.345836522</t>
        </is>
      </c>
      <c r="H933" t="n">
        <v>-100.7873328</v>
      </c>
      <c r="I933" t="inlineStr">
        <is>
          <t>C1</t>
        </is>
      </c>
      <c r="J933" t="n">
        <v>0.0191092792489534</v>
      </c>
      <c r="K933" t="inlineStr"/>
      <c r="L933" t="n">
        <v>0.80753</v>
      </c>
      <c r="M933" t="n">
        <v>0.807563126</v>
      </c>
      <c r="N933" t="inlineStr">
        <is>
          <t>Yes</t>
        </is>
      </c>
      <c r="O933" t="inlineStr">
        <is>
          <t>improve</t>
        </is>
      </c>
      <c r="P933" t="inlineStr">
        <is>
          <t>adjusted decimals</t>
        </is>
      </c>
      <c r="Q933" t="inlineStr"/>
      <c r="R933" t="inlineStr"/>
      <c r="S933">
        <f>HYPERLINK("https://helical-indexing-hi3d.streamlit.app/?emd_id=emd-9943&amp;rise=5.345836522&amp;twist=-100.7873328&amp;csym=1&amp;rise2=5.36&amp;twist2=-100.821&amp;csym2=1", "Link")</f>
        <v/>
      </c>
    </row>
    <row r="934">
      <c r="A934" t="inlineStr">
        <is>
          <t>EMD-28701</t>
        </is>
      </c>
      <c r="B934" t="inlineStr">
        <is>
          <t>non-amyloid</t>
        </is>
      </c>
      <c r="C934" t="n">
        <v>3.7</v>
      </c>
      <c r="D934" t="n">
        <v>2.99</v>
      </c>
      <c r="E934" t="n">
        <v>19.99</v>
      </c>
      <c r="F934" t="inlineStr">
        <is>
          <t>C1</t>
        </is>
      </c>
      <c r="G934" t="inlineStr">
        <is>
          <t>2.99</t>
        </is>
      </c>
      <c r="H934" t="n">
        <v>19.99</v>
      </c>
      <c r="I934" t="inlineStr">
        <is>
          <t>C1</t>
        </is>
      </c>
      <c r="J934" t="n">
        <v>0</v>
      </c>
      <c r="K934" t="inlineStr"/>
      <c r="L934" t="n">
        <v>0.852147889</v>
      </c>
      <c r="M934" t="n">
        <v>0.852147889</v>
      </c>
      <c r="N934" t="inlineStr">
        <is>
          <t>Yes</t>
        </is>
      </c>
      <c r="O934" t="inlineStr">
        <is>
          <t>equal</t>
        </is>
      </c>
      <c r="P934" t="inlineStr">
        <is>
          <t>deposited</t>
        </is>
      </c>
      <c r="Q934" t="inlineStr"/>
      <c r="R934" t="inlineStr"/>
      <c r="S934">
        <f>HYPERLINK("https://helical-indexing-hi3d.streamlit.app/?emd_id=emd-28701&amp;rise=2.99&amp;twist=19.99&amp;csym=1&amp;rise2=2.99&amp;twist2=19.99&amp;csym2=1", "Link")</f>
        <v/>
      </c>
    </row>
    <row r="935">
      <c r="A935" t="inlineStr">
        <is>
          <t>EMD-9948</t>
        </is>
      </c>
      <c r="B935" t="inlineStr">
        <is>
          <t>non-amyloid</t>
        </is>
      </c>
      <c r="C935" t="n">
        <v>3.7</v>
      </c>
      <c r="D935" t="n">
        <v>5.409</v>
      </c>
      <c r="E935" t="n">
        <v>-99.16</v>
      </c>
      <c r="F935" t="inlineStr">
        <is>
          <t>C1</t>
        </is>
      </c>
      <c r="G935" t="inlineStr">
        <is>
          <t>5.376461678</t>
        </is>
      </c>
      <c r="H935" t="n">
        <v>-99.16172283</v>
      </c>
      <c r="I935" t="inlineStr">
        <is>
          <t>C1</t>
        </is>
      </c>
      <c r="J935" t="n">
        <v>0.032544761</v>
      </c>
      <c r="K935" t="inlineStr"/>
      <c r="L935" t="n">
        <v>0.89171</v>
      </c>
      <c r="M935" t="n">
        <v>0.893393528</v>
      </c>
      <c r="N935" t="inlineStr">
        <is>
          <t>Yes</t>
        </is>
      </c>
      <c r="O935" t="inlineStr">
        <is>
          <t>improve</t>
        </is>
      </c>
      <c r="P935" t="inlineStr">
        <is>
          <t>adjusted decimals</t>
        </is>
      </c>
      <c r="Q935" t="inlineStr"/>
      <c r="R935" t="inlineStr"/>
      <c r="S935">
        <f>HYPERLINK("https://helical-indexing-hi3d.streamlit.app/?emd_id=emd-9948&amp;rise=5.376461678&amp;twist=-99.16172283&amp;csym=1&amp;rise2=5.409&amp;twist2=-99.16&amp;csym2=1", "Link")</f>
        <v/>
      </c>
    </row>
    <row r="936">
      <c r="A936" t="inlineStr">
        <is>
          <t>EMD-9761</t>
        </is>
      </c>
      <c r="B936" t="inlineStr">
        <is>
          <t>non-amyloid</t>
        </is>
      </c>
      <c r="C936" t="n">
        <v>3.7</v>
      </c>
      <c r="D936" t="n">
        <v>17</v>
      </c>
      <c r="E936" t="n">
        <v>31.4</v>
      </c>
      <c r="F936" t="inlineStr">
        <is>
          <t>C6</t>
        </is>
      </c>
      <c r="G936" t="inlineStr">
        <is>
          <t>17</t>
        </is>
      </c>
      <c r="H936" t="n">
        <v>31.4</v>
      </c>
      <c r="I936" t="inlineStr">
        <is>
          <t>C6</t>
        </is>
      </c>
      <c r="J936" t="n">
        <v>0</v>
      </c>
      <c r="K936" t="inlineStr"/>
      <c r="L936" t="n">
        <v>0.894093754</v>
      </c>
      <c r="M936" t="n">
        <v>0.894093754</v>
      </c>
      <c r="N936" t="inlineStr">
        <is>
          <t>Yes</t>
        </is>
      </c>
      <c r="O936" t="inlineStr">
        <is>
          <t>equal</t>
        </is>
      </c>
      <c r="P936" t="inlineStr">
        <is>
          <t>deposited</t>
        </is>
      </c>
      <c r="Q936" t="inlineStr"/>
      <c r="R936" t="inlineStr"/>
      <c r="S936">
        <f>HYPERLINK("https://helical-indexing-hi3d.streamlit.app/?emd_id=emd-9761&amp;rise=17&amp;twist=31.4&amp;csym=6&amp;rise2=17.0&amp;twist2=31.4&amp;csym2=6", "Link")</f>
        <v/>
      </c>
    </row>
    <row r="937">
      <c r="A937" t="inlineStr">
        <is>
          <t>EMD-0438</t>
        </is>
      </c>
      <c r="B937" t="inlineStr">
        <is>
          <t>non-amyloid</t>
        </is>
      </c>
      <c r="C937" t="n">
        <v>3.7</v>
      </c>
      <c r="D937" t="n">
        <v>13.8</v>
      </c>
      <c r="E937" t="n">
        <v>56.8</v>
      </c>
      <c r="F937" t="inlineStr">
        <is>
          <t>C3</t>
        </is>
      </c>
      <c r="G937" t="inlineStr">
        <is>
          <t>13.80463714</t>
        </is>
      </c>
      <c r="H937" t="n">
        <v>56.82085267</v>
      </c>
      <c r="I937" t="inlineStr">
        <is>
          <t>C3</t>
        </is>
      </c>
      <c r="J937" t="n">
        <v>0.007151485</v>
      </c>
      <c r="K937" t="inlineStr"/>
      <c r="L937" t="n">
        <v>0.89066</v>
      </c>
      <c r="M937" t="n">
        <v>0.890691036</v>
      </c>
      <c r="N937" t="inlineStr">
        <is>
          <t>Yes</t>
        </is>
      </c>
      <c r="O937" t="inlineStr">
        <is>
          <t>improve</t>
        </is>
      </c>
      <c r="P937" t="inlineStr">
        <is>
          <t>adjusted decimals</t>
        </is>
      </c>
      <c r="Q937" t="inlineStr"/>
      <c r="R937" t="inlineStr"/>
      <c r="S937">
        <f>HYPERLINK("https://helical-indexing-hi3d.streamlit.app/?emd_id=emd-0438&amp;rise=13.80463714&amp;twist=56.82085267&amp;csym=3&amp;rise2=13.8&amp;twist2=56.8&amp;csym2=3", "Link")</f>
        <v/>
      </c>
    </row>
    <row r="938">
      <c r="A938" t="inlineStr">
        <is>
          <t>EMD-8095</t>
        </is>
      </c>
      <c r="B938" t="inlineStr">
        <is>
          <t>microtubule</t>
        </is>
      </c>
      <c r="C938" t="n">
        <v>3.7</v>
      </c>
      <c r="D938" t="n">
        <v>9.48</v>
      </c>
      <c r="E938" t="n">
        <v>-27.68</v>
      </c>
      <c r="F938" t="inlineStr">
        <is>
          <t>C1</t>
        </is>
      </c>
      <c r="G938" t="inlineStr">
        <is>
          <t>9.428948071</t>
        </is>
      </c>
      <c r="H938" t="n">
        <v>-27.68120285</v>
      </c>
      <c r="I938" t="inlineStr">
        <is>
          <t>C1</t>
        </is>
      </c>
      <c r="J938" t="n">
        <v>0.0510534659674909</v>
      </c>
      <c r="K938" t="inlineStr"/>
      <c r="L938" t="n">
        <v>0.772700037</v>
      </c>
      <c r="M938" t="n">
        <v>0.808172857</v>
      </c>
      <c r="N938" t="inlineStr">
        <is>
          <t>Yes</t>
        </is>
      </c>
      <c r="O938" t="inlineStr">
        <is>
          <t>improve</t>
        </is>
      </c>
      <c r="P938" t="inlineStr">
        <is>
          <t>adjusted decimals</t>
        </is>
      </c>
      <c r="Q938" t="inlineStr"/>
      <c r="R938" t="inlineStr"/>
      <c r="S938">
        <f>HYPERLINK("https://helical-indexing-hi3d.streamlit.app/?emd_id=emd-8095&amp;rise=9.428948071&amp;twist=-27.68120285&amp;csym=1&amp;rise2=9.48&amp;twist2=-27.68&amp;csym2=1", "Link")</f>
        <v/>
      </c>
    </row>
    <row r="939">
      <c r="A939" t="inlineStr">
        <is>
          <t>EMD-6124</t>
        </is>
      </c>
      <c r="B939" t="inlineStr">
        <is>
          <t>non-amyloid</t>
        </is>
      </c>
      <c r="C939" t="n">
        <v>3.7</v>
      </c>
      <c r="D939" t="n">
        <v>27.5</v>
      </c>
      <c r="E939" t="n">
        <v>166.4</v>
      </c>
      <c r="F939" t="inlineStr">
        <is>
          <t>C1</t>
        </is>
      </c>
      <c r="G939" t="inlineStr">
        <is>
          <t>55.00065936</t>
        </is>
      </c>
      <c r="H939" t="n">
        <v>26.61357764</v>
      </c>
      <c r="I939" t="inlineStr">
        <is>
          <t>C1</t>
        </is>
      </c>
      <c r="J939" t="n">
        <v>33.94001050177796</v>
      </c>
      <c r="K939" t="inlineStr"/>
      <c r="L939" t="n">
        <v>0.26065</v>
      </c>
      <c r="M939" t="n">
        <v>0.843442519</v>
      </c>
      <c r="N939" t="inlineStr">
        <is>
          <t>Yes</t>
        </is>
      </c>
      <c r="O939" t="inlineStr">
        <is>
          <t>improve</t>
        </is>
      </c>
      <c r="P939" t="inlineStr">
        <is>
          <t>different</t>
        </is>
      </c>
      <c r="Q939" t="inlineStr">
        <is>
          <t>check</t>
        </is>
      </c>
      <c r="R939" t="inlineStr">
        <is>
          <t>sign error</t>
        </is>
      </c>
      <c r="S939">
        <f>HYPERLINK("https://helical-indexing-hi3d.streamlit.app/?emd_id=emd-6124&amp;rise=55.00065936&amp;twist=26.61357764&amp;csym=1&amp;rise2=27.5&amp;twist2=166.4&amp;csym2=1", "Link")</f>
        <v/>
      </c>
    </row>
    <row r="940">
      <c r="A940" t="inlineStr">
        <is>
          <t>EMD-32033</t>
        </is>
      </c>
      <c r="B940" t="inlineStr">
        <is>
          <t>microtubule</t>
        </is>
      </c>
      <c r="C940" t="n">
        <v>3.7</v>
      </c>
      <c r="D940" t="n">
        <v>8.85</v>
      </c>
      <c r="E940" t="n">
        <v>-25.75</v>
      </c>
      <c r="F940" t="inlineStr">
        <is>
          <t>C1</t>
        </is>
      </c>
      <c r="G940" t="inlineStr">
        <is>
          <t>3.003015179</t>
        </is>
      </c>
      <c r="H940" t="n">
        <v>-128.5714284</v>
      </c>
      <c r="I940" t="inlineStr">
        <is>
          <t>C1</t>
        </is>
      </c>
      <c r="J940" t="n">
        <v>30.07252818248821</v>
      </c>
      <c r="K940" t="inlineStr"/>
      <c r="L940" t="n">
        <v>0.7991432040000001</v>
      </c>
      <c r="M940" t="n">
        <v>0.867418111</v>
      </c>
      <c r="N940" t="inlineStr">
        <is>
          <t>Yes</t>
        </is>
      </c>
      <c r="O940" t="inlineStr">
        <is>
          <t>improve</t>
        </is>
      </c>
      <c r="P940" t="inlineStr">
        <is>
          <t>different</t>
        </is>
      </c>
      <c r="Q940" t="inlineStr">
        <is>
          <t>partial symmetry</t>
        </is>
      </c>
      <c r="R940" t="inlineStr"/>
      <c r="S940">
        <f>HYPERLINK("https://helical-indexing-hi3d.streamlit.app/?emd_id=emd-32033&amp;rise=3.003015179&amp;twist=-128.5714284&amp;csym=1&amp;rise2=8.85&amp;twist2=-25.75&amp;csym2=1", "Link")</f>
        <v/>
      </c>
    </row>
    <row r="941">
      <c r="A941" t="inlineStr">
        <is>
          <t>EMD-7797</t>
        </is>
      </c>
      <c r="B941" t="inlineStr">
        <is>
          <t>non-amyloid</t>
        </is>
      </c>
      <c r="C941" t="n">
        <v>3.7</v>
      </c>
      <c r="D941" t="n">
        <v>2.76412</v>
      </c>
      <c r="E941" t="n">
        <v>21.02572</v>
      </c>
      <c r="F941" t="inlineStr">
        <is>
          <t>C1</t>
        </is>
      </c>
      <c r="G941" t="inlineStr">
        <is>
          <t>2.768946475</t>
        </is>
      </c>
      <c r="H941" t="n">
        <v>21.03207944</v>
      </c>
      <c r="I941" t="inlineStr">
        <is>
          <t>C1</t>
        </is>
      </c>
      <c r="J941" t="n">
        <v>0.011030906479321</v>
      </c>
      <c r="K941" t="inlineStr"/>
      <c r="L941" t="n">
        <v>0.817244893</v>
      </c>
      <c r="M941" t="n">
        <v>0.824876828</v>
      </c>
      <c r="N941" t="inlineStr">
        <is>
          <t>Yes</t>
        </is>
      </c>
      <c r="O941" t="inlineStr">
        <is>
          <t>improve</t>
        </is>
      </c>
      <c r="P941" t="inlineStr">
        <is>
          <t>adjusted decimals</t>
        </is>
      </c>
      <c r="Q941" t="inlineStr"/>
      <c r="R941" t="inlineStr"/>
      <c r="S941">
        <f>HYPERLINK("https://helical-indexing-hi3d.streamlit.app/?emd_id=emd-7797&amp;rise=2.768946475&amp;twist=21.03207944&amp;csym=1&amp;rise2=2.76412&amp;twist2=21.02572&amp;csym2=1", "Link")</f>
        <v/>
      </c>
    </row>
    <row r="942">
      <c r="A942" t="inlineStr">
        <is>
          <t>EMD-25382</t>
        </is>
      </c>
      <c r="B942" t="inlineStr">
        <is>
          <t>non-amyloid</t>
        </is>
      </c>
      <c r="C942" t="n">
        <v>3.7</v>
      </c>
      <c r="D942" t="n">
        <v>18.9</v>
      </c>
      <c r="E942" t="n">
        <v>-98.40000000000001</v>
      </c>
      <c r="F942" t="inlineStr">
        <is>
          <t>C1</t>
        </is>
      </c>
      <c r="G942" t="inlineStr">
        <is>
          <t>18.9</t>
        </is>
      </c>
      <c r="H942" t="n">
        <v>-98.40000000000001</v>
      </c>
      <c r="I942" t="inlineStr">
        <is>
          <t>C1</t>
        </is>
      </c>
      <c r="J942" t="n">
        <v>0</v>
      </c>
      <c r="K942" t="inlineStr"/>
      <c r="L942" t="n">
        <v>0.994282485</v>
      </c>
      <c r="M942" t="n">
        <v>0.994282485</v>
      </c>
      <c r="N942" t="inlineStr">
        <is>
          <t>Yes</t>
        </is>
      </c>
      <c r="O942" t="inlineStr">
        <is>
          <t>equal</t>
        </is>
      </c>
      <c r="P942" t="inlineStr">
        <is>
          <t>deposited</t>
        </is>
      </c>
      <c r="Q942" t="inlineStr"/>
      <c r="R942" t="inlineStr"/>
      <c r="S942">
        <f>HYPERLINK("https://helical-indexing-hi3d.streamlit.app/?emd_id=emd-25382&amp;rise=18.9&amp;twist=-98.4&amp;csym=1&amp;rise2=18.9&amp;twist2=-98.4&amp;csym2=1", "Link")</f>
        <v/>
      </c>
    </row>
    <row r="943">
      <c r="A943" t="inlineStr">
        <is>
          <t>EMD-23724</t>
        </is>
      </c>
      <c r="B943" t="inlineStr">
        <is>
          <t>non-amyloid</t>
        </is>
      </c>
      <c r="C943" t="n">
        <v>3.7</v>
      </c>
      <c r="D943" t="n">
        <v>6.83</v>
      </c>
      <c r="E943" t="n">
        <v>60</v>
      </c>
      <c r="F943" t="inlineStr">
        <is>
          <t>C1</t>
        </is>
      </c>
      <c r="G943" t="inlineStr">
        <is>
          <t>6.834730279</t>
        </is>
      </c>
      <c r="H943" t="n">
        <v>59.43381378</v>
      </c>
      <c r="I943" t="inlineStr">
        <is>
          <t>C1</t>
        </is>
      </c>
      <c r="J943" t="n">
        <v>0.2008696883901283</v>
      </c>
      <c r="K943" t="inlineStr"/>
      <c r="L943" t="n">
        <v>0.71339</v>
      </c>
      <c r="M943" t="n">
        <v>0.79054902</v>
      </c>
      <c r="N943" t="inlineStr">
        <is>
          <t>Yes</t>
        </is>
      </c>
      <c r="O943" t="inlineStr">
        <is>
          <t>improve</t>
        </is>
      </c>
      <c r="P943" t="inlineStr">
        <is>
          <t>adjusted decimals</t>
        </is>
      </c>
      <c r="Q943" t="inlineStr"/>
      <c r="R943" t="inlineStr"/>
      <c r="S943">
        <f>HYPERLINK("https://helical-indexing-hi3d.streamlit.app/?emd_id=emd-23724&amp;rise=6.834730279&amp;twist=59.43381378&amp;csym=1&amp;rise2=6.83&amp;twist2=60.0&amp;csym2=1", "Link")</f>
        <v/>
      </c>
    </row>
    <row r="944">
      <c r="A944" t="inlineStr">
        <is>
          <t>EMD-13528</t>
        </is>
      </c>
      <c r="B944" t="inlineStr">
        <is>
          <t>non-amyloid</t>
        </is>
      </c>
      <c r="C944" t="n">
        <v>3.7</v>
      </c>
      <c r="D944" t="inlineStr"/>
      <c r="E944" t="inlineStr"/>
      <c r="F944" t="inlineStr"/>
      <c r="G944" t="inlineStr"/>
      <c r="H944" t="inlineStr"/>
      <c r="I944" t="inlineStr">
        <is>
          <t>C1</t>
        </is>
      </c>
      <c r="J944" t="inlineStr"/>
      <c r="K944" t="inlineStr"/>
      <c r="L944" t="inlineStr"/>
      <c r="M944" t="inlineStr"/>
      <c r="N944" t="inlineStr">
        <is>
          <t>No</t>
        </is>
      </c>
      <c r="O944" t="inlineStr"/>
      <c r="P944" t="inlineStr">
        <is>
          <t>single unit</t>
        </is>
      </c>
      <c r="Q944" t="inlineStr"/>
      <c r="R944" t="inlineStr"/>
      <c r="S944" t="inlineStr"/>
    </row>
    <row r="945">
      <c r="A945" t="inlineStr">
        <is>
          <t>EMD-24737</t>
        </is>
      </c>
      <c r="B945" t="inlineStr">
        <is>
          <t>non-amyloid</t>
        </is>
      </c>
      <c r="C945" t="n">
        <v>3.7</v>
      </c>
      <c r="D945" t="n">
        <v>4.24</v>
      </c>
      <c r="E945" t="n">
        <v>63.34</v>
      </c>
      <c r="F945" t="inlineStr">
        <is>
          <t>C1</t>
        </is>
      </c>
      <c r="G945" t="inlineStr">
        <is>
          <t>4.24</t>
        </is>
      </c>
      <c r="H945" t="n">
        <v>63.34</v>
      </c>
      <c r="I945" t="inlineStr">
        <is>
          <t>C1</t>
        </is>
      </c>
      <c r="J945" t="n">
        <v>0</v>
      </c>
      <c r="K945" t="inlineStr"/>
      <c r="L945" t="n">
        <v>0.86373</v>
      </c>
      <c r="M945" t="n">
        <v>0.86373</v>
      </c>
      <c r="N945" t="inlineStr">
        <is>
          <t>Yes</t>
        </is>
      </c>
      <c r="O945" t="inlineStr">
        <is>
          <t>equal</t>
        </is>
      </c>
      <c r="P945" t="inlineStr">
        <is>
          <t>deposited</t>
        </is>
      </c>
      <c r="Q945" t="inlineStr"/>
      <c r="R945" t="inlineStr"/>
      <c r="S945">
        <f>HYPERLINK("https://helical-indexing-hi3d.streamlit.app/?emd_id=emd-24737&amp;rise=4.24&amp;twist=63.34&amp;csym=1&amp;rise2=4.24&amp;twist2=63.34&amp;csym2=1", "Link")</f>
        <v/>
      </c>
    </row>
    <row r="946">
      <c r="A946" t="inlineStr">
        <is>
          <t>EMD-13525</t>
        </is>
      </c>
      <c r="B946" t="inlineStr">
        <is>
          <t>non-amyloid</t>
        </is>
      </c>
      <c r="C946" t="n">
        <v>3.7</v>
      </c>
      <c r="D946" t="inlineStr"/>
      <c r="E946" t="inlineStr"/>
      <c r="F946" t="inlineStr"/>
      <c r="G946" t="inlineStr"/>
      <c r="H946" t="inlineStr"/>
      <c r="I946" t="inlineStr">
        <is>
          <t>C1</t>
        </is>
      </c>
      <c r="J946" t="inlineStr"/>
      <c r="K946" t="inlineStr"/>
      <c r="L946" t="inlineStr"/>
      <c r="M946" t="inlineStr"/>
      <c r="N946" t="inlineStr">
        <is>
          <t>No</t>
        </is>
      </c>
      <c r="O946" t="inlineStr"/>
      <c r="P946" t="inlineStr">
        <is>
          <t>single unit</t>
        </is>
      </c>
      <c r="Q946" t="inlineStr"/>
      <c r="R946" t="inlineStr"/>
      <c r="S946" t="inlineStr"/>
    </row>
    <row r="947">
      <c r="A947" t="inlineStr">
        <is>
          <t>EMD-13541</t>
        </is>
      </c>
      <c r="B947" t="inlineStr">
        <is>
          <t>non-amyloid</t>
        </is>
      </c>
      <c r="C947" t="n">
        <v>3.7</v>
      </c>
      <c r="D947" t="n">
        <v>28.5</v>
      </c>
      <c r="E947" t="n">
        <v>86</v>
      </c>
      <c r="F947" t="inlineStr">
        <is>
          <t>D1</t>
        </is>
      </c>
      <c r="G947" t="inlineStr"/>
      <c r="H947" t="inlineStr"/>
      <c r="I947" t="inlineStr">
        <is>
          <t>Cnan</t>
        </is>
      </c>
      <c r="J947" t="inlineStr"/>
      <c r="K947" t="inlineStr"/>
      <c r="L947" t="n">
        <v>0.19695</v>
      </c>
      <c r="M947" t="inlineStr"/>
      <c r="N947" t="inlineStr">
        <is>
          <t>Excluded</t>
        </is>
      </c>
      <c r="O947" t="inlineStr">
        <is>
          <t>worse</t>
        </is>
      </c>
      <c r="P947" t="inlineStr">
        <is>
          <t>focus reconstruction</t>
        </is>
      </c>
      <c r="Q947" t="inlineStr"/>
      <c r="R947" t="inlineStr"/>
      <c r="S947">
        <f>HYPERLINK("https://helical-indexing-hi3d.streamlit.app/?emd_id=emd-13541&amp;rise=nan&amp;twist=nan&amp;csym=nan&amp;rise2=28.5&amp;twist2=86.0&amp;csym2=1", "Link")</f>
        <v/>
      </c>
    </row>
    <row r="948">
      <c r="A948" t="inlineStr">
        <is>
          <t>EMD-22220</t>
        </is>
      </c>
      <c r="B948" t="inlineStr">
        <is>
          <t>non-amyloid</t>
        </is>
      </c>
      <c r="C948" t="n">
        <v>3.72</v>
      </c>
      <c r="D948" t="n">
        <v>5.1</v>
      </c>
      <c r="E948" t="n">
        <v>-100.8</v>
      </c>
      <c r="F948" t="inlineStr">
        <is>
          <t>C1</t>
        </is>
      </c>
      <c r="G948" t="inlineStr">
        <is>
          <t>5.1</t>
        </is>
      </c>
      <c r="H948" t="n">
        <v>-100.8</v>
      </c>
      <c r="I948" t="inlineStr">
        <is>
          <t>C1</t>
        </is>
      </c>
      <c r="J948" t="n">
        <v>0</v>
      </c>
      <c r="K948" t="inlineStr"/>
      <c r="L948" t="n">
        <v>0.7513</v>
      </c>
      <c r="M948" t="n">
        <v>0.7513</v>
      </c>
      <c r="N948" t="inlineStr">
        <is>
          <t>Yes</t>
        </is>
      </c>
      <c r="O948" t="inlineStr">
        <is>
          <t>equal</t>
        </is>
      </c>
      <c r="P948" t="inlineStr">
        <is>
          <t>deposited</t>
        </is>
      </c>
      <c r="Q948" t="inlineStr"/>
      <c r="R948" t="inlineStr"/>
      <c r="S948">
        <f>HYPERLINK("https://helical-indexing-hi3d.streamlit.app/?emd_id=emd-22220&amp;rise=5.1&amp;twist=-100.8&amp;csym=1&amp;rise2=5.1&amp;twist2=-100.8&amp;csym2=1", "Link")</f>
        <v/>
      </c>
    </row>
    <row r="949">
      <c r="A949" t="inlineStr">
        <is>
          <t>EMD-15119</t>
        </is>
      </c>
      <c r="B949" t="inlineStr">
        <is>
          <t>microtubule</t>
        </is>
      </c>
      <c r="C949" t="n">
        <v>3.74</v>
      </c>
      <c r="D949" t="n">
        <v>9.460000000000001</v>
      </c>
      <c r="E949" t="n">
        <v>-27.67</v>
      </c>
      <c r="F949" t="inlineStr">
        <is>
          <t>C1</t>
        </is>
      </c>
      <c r="G949" t="inlineStr">
        <is>
          <t>3.259201052</t>
        </is>
      </c>
      <c r="H949" t="n">
        <v>110.7774215</v>
      </c>
      <c r="I949" t="inlineStr">
        <is>
          <t>C1</t>
        </is>
      </c>
      <c r="J949" t="n">
        <v>52.60447139499445</v>
      </c>
      <c r="K949" t="inlineStr"/>
      <c r="L949" t="n">
        <v>0.809812309</v>
      </c>
      <c r="M949" t="n">
        <v>0.923540638</v>
      </c>
      <c r="N949" t="inlineStr">
        <is>
          <t>Yes</t>
        </is>
      </c>
      <c r="O949" t="inlineStr">
        <is>
          <t>improve</t>
        </is>
      </c>
      <c r="P949" t="inlineStr">
        <is>
          <t>different</t>
        </is>
      </c>
      <c r="Q949" t="inlineStr">
        <is>
          <t>partial symmetry</t>
        </is>
      </c>
      <c r="R949" t="inlineStr"/>
      <c r="S949">
        <f>HYPERLINK("https://helical-indexing-hi3d.streamlit.app/?emd_id=emd-15119&amp;rise=3.259201052&amp;twist=110.7774215&amp;csym=1&amp;rise2=9.46&amp;twist2=-27.67&amp;csym2=1", "Link")</f>
        <v/>
      </c>
    </row>
    <row r="950">
      <c r="A950" t="inlineStr">
        <is>
          <t>EMD-11932</t>
        </is>
      </c>
      <c r="B950" t="inlineStr">
        <is>
          <t>non-amyloid</t>
        </is>
      </c>
      <c r="C950" t="n">
        <v>3.74</v>
      </c>
      <c r="D950" t="n">
        <v>13.58</v>
      </c>
      <c r="E950" t="n">
        <v>24.43</v>
      </c>
      <c r="F950" t="inlineStr">
        <is>
          <t>C2</t>
        </is>
      </c>
      <c r="G950" t="inlineStr">
        <is>
          <t>13.40075843</t>
        </is>
      </c>
      <c r="H950" t="n">
        <v>24.42099926</v>
      </c>
      <c r="I950" t="inlineStr">
        <is>
          <t>C2</t>
        </is>
      </c>
      <c r="J950" t="n">
        <v>0.1793425939830005</v>
      </c>
      <c r="K950" t="inlineStr"/>
      <c r="L950" t="n">
        <v>0.871620427</v>
      </c>
      <c r="M950" t="n">
        <v>0.905471971</v>
      </c>
      <c r="N950" t="inlineStr">
        <is>
          <t>Yes</t>
        </is>
      </c>
      <c r="O950" t="inlineStr">
        <is>
          <t>improve</t>
        </is>
      </c>
      <c r="P950" t="inlineStr">
        <is>
          <t>adjusted decimals</t>
        </is>
      </c>
      <c r="Q950" t="inlineStr"/>
      <c r="R950" t="inlineStr"/>
      <c r="S950">
        <f>HYPERLINK("https://helical-indexing-hi3d.streamlit.app/?emd_id=emd-11932&amp;rise=13.40075843&amp;twist=24.42099926&amp;csym=2&amp;rise2=13.58&amp;twist2=24.43&amp;csym2=2", "Link")</f>
        <v/>
      </c>
    </row>
    <row r="951">
      <c r="A951" t="inlineStr">
        <is>
          <t>EMD-17068</t>
        </is>
      </c>
      <c r="B951" t="inlineStr">
        <is>
          <t>non-amyloid</t>
        </is>
      </c>
      <c r="C951" t="n">
        <v>3.75</v>
      </c>
      <c r="D951" t="n">
        <v>41.26</v>
      </c>
      <c r="E951" t="n">
        <v>8.204000000000001</v>
      </c>
      <c r="F951" t="inlineStr">
        <is>
          <t>C1</t>
        </is>
      </c>
      <c r="G951" t="inlineStr">
        <is>
          <t>41.26</t>
        </is>
      </c>
      <c r="H951" t="n">
        <v>8.204000000000001</v>
      </c>
      <c r="I951" t="inlineStr">
        <is>
          <t>C1</t>
        </is>
      </c>
      <c r="J951" t="n">
        <v>0</v>
      </c>
      <c r="K951" t="inlineStr"/>
      <c r="L951" t="n">
        <v>0.87217</v>
      </c>
      <c r="M951" t="n">
        <v>0.87217</v>
      </c>
      <c r="N951" t="inlineStr">
        <is>
          <t>Yes</t>
        </is>
      </c>
      <c r="O951" t="inlineStr">
        <is>
          <t>equal</t>
        </is>
      </c>
      <c r="P951" t="inlineStr">
        <is>
          <t>deposited</t>
        </is>
      </c>
      <c r="Q951" t="inlineStr"/>
      <c r="R951" t="inlineStr"/>
      <c r="S951">
        <f>HYPERLINK("https://helical-indexing-hi3d.streamlit.app/?emd_id=emd-17068&amp;rise=41.26&amp;twist=8.204&amp;csym=1&amp;rise2=41.26&amp;twist2=8.204&amp;csym2=1", "Link")</f>
        <v/>
      </c>
    </row>
    <row r="952">
      <c r="A952" t="inlineStr">
        <is>
          <t>EMD-7957</t>
        </is>
      </c>
      <c r="B952" t="inlineStr">
        <is>
          <t>non-amyloid</t>
        </is>
      </c>
      <c r="C952" t="n">
        <v>3.75</v>
      </c>
      <c r="D952" t="n">
        <v>6.35</v>
      </c>
      <c r="E952" t="n">
        <v>23.68</v>
      </c>
      <c r="F952" t="inlineStr">
        <is>
          <t>C1</t>
        </is>
      </c>
      <c r="G952" t="inlineStr">
        <is>
          <t>6.322361995</t>
        </is>
      </c>
      <c r="H952" t="n">
        <v>23.68236479</v>
      </c>
      <c r="I952" t="inlineStr">
        <is>
          <t>C1</t>
        </is>
      </c>
      <c r="J952" t="n">
        <v>0.0278632564941078</v>
      </c>
      <c r="K952" t="inlineStr"/>
      <c r="L952" t="n">
        <v>0.918185638</v>
      </c>
      <c r="M952" t="n">
        <v>0.92547607</v>
      </c>
      <c r="N952" t="inlineStr">
        <is>
          <t>Yes</t>
        </is>
      </c>
      <c r="O952" t="inlineStr">
        <is>
          <t>improve</t>
        </is>
      </c>
      <c r="P952" t="inlineStr">
        <is>
          <t>adjusted decimals</t>
        </is>
      </c>
      <c r="Q952" t="inlineStr"/>
      <c r="R952" t="inlineStr"/>
      <c r="S952">
        <f>HYPERLINK("https://helical-indexing-hi3d.streamlit.app/?emd_id=emd-7957&amp;rise=6.322361995&amp;twist=23.68236479&amp;csym=1&amp;rise2=6.35&amp;twist2=23.68&amp;csym2=1", "Link")</f>
        <v/>
      </c>
    </row>
    <row r="953">
      <c r="A953" t="inlineStr">
        <is>
          <t>EMD-24400</t>
        </is>
      </c>
      <c r="B953" t="inlineStr">
        <is>
          <t>non-amyloid</t>
        </is>
      </c>
      <c r="C953" t="n">
        <v>3.76</v>
      </c>
      <c r="D953" t="n">
        <v>27.08</v>
      </c>
      <c r="E953" t="n">
        <v>-166.66</v>
      </c>
      <c r="F953" t="inlineStr">
        <is>
          <t>C1</t>
        </is>
      </c>
      <c r="G953" t="inlineStr">
        <is>
          <t>55.84280429</t>
        </is>
      </c>
      <c r="H953" t="n">
        <v>27.5268302</v>
      </c>
      <c r="I953" t="inlineStr">
        <is>
          <t>C1</t>
        </is>
      </c>
      <c r="J953" t="n">
        <v>59.66602821409275</v>
      </c>
      <c r="K953" t="inlineStr"/>
      <c r="L953" t="n">
        <v>0.666258996</v>
      </c>
      <c r="M953" t="n">
        <v>0.879640565</v>
      </c>
      <c r="N953" t="inlineStr">
        <is>
          <t>Yes</t>
        </is>
      </c>
      <c r="O953" t="inlineStr">
        <is>
          <t>improve</t>
        </is>
      </c>
      <c r="P953" t="inlineStr">
        <is>
          <t>different</t>
        </is>
      </c>
      <c r="Q953" t="inlineStr">
        <is>
          <t>check</t>
        </is>
      </c>
      <c r="R953" t="inlineStr">
        <is>
          <t>sign error</t>
        </is>
      </c>
      <c r="S953">
        <f>HYPERLINK("https://helical-indexing-hi3d.streamlit.app/?emd_id=emd-24400&amp;rise=55.84280429&amp;twist=27.5268302&amp;csym=1&amp;rise2=27.08&amp;twist2=-166.66&amp;csym2=1", "Link")</f>
        <v/>
      </c>
    </row>
    <row r="954">
      <c r="A954" t="inlineStr">
        <is>
          <t>EMD-27140</t>
        </is>
      </c>
      <c r="B954" t="inlineStr">
        <is>
          <t>non-amyloid</t>
        </is>
      </c>
      <c r="C954" t="n">
        <v>3.77</v>
      </c>
      <c r="D954" t="n">
        <v>7.001</v>
      </c>
      <c r="E954" t="n">
        <v>59.391</v>
      </c>
      <c r="F954" t="inlineStr">
        <is>
          <t>C1</t>
        </is>
      </c>
      <c r="G954" t="inlineStr">
        <is>
          <t>7.001</t>
        </is>
      </c>
      <c r="H954" t="n">
        <v>59.391</v>
      </c>
      <c r="I954" t="inlineStr">
        <is>
          <t>C1</t>
        </is>
      </c>
      <c r="J954" t="n">
        <v>0</v>
      </c>
      <c r="K954" t="inlineStr"/>
      <c r="L954" t="n">
        <v>0.9506</v>
      </c>
      <c r="M954" t="n">
        <v>0.9506</v>
      </c>
      <c r="N954" t="inlineStr">
        <is>
          <t>Yes</t>
        </is>
      </c>
      <c r="O954" t="inlineStr">
        <is>
          <t>equal</t>
        </is>
      </c>
      <c r="P954" t="inlineStr">
        <is>
          <t>deposited</t>
        </is>
      </c>
      <c r="Q954" t="inlineStr"/>
      <c r="R954" t="inlineStr"/>
      <c r="S954">
        <f>HYPERLINK("https://helical-indexing-hi3d.streamlit.app/?emd_id=emd-27140&amp;rise=7.001&amp;twist=59.391&amp;csym=1&amp;rise2=7.001&amp;twist2=59.391&amp;csym2=1", "Link")</f>
        <v/>
      </c>
    </row>
    <row r="955">
      <c r="A955" t="inlineStr">
        <is>
          <t>EMD-11818</t>
        </is>
      </c>
      <c r="B955" t="inlineStr">
        <is>
          <t>non-amyloid</t>
        </is>
      </c>
      <c r="C955" t="n">
        <v>3.77</v>
      </c>
      <c r="D955" t="n">
        <v>27.3</v>
      </c>
      <c r="E955" t="n">
        <v>-168.1</v>
      </c>
      <c r="F955" t="inlineStr">
        <is>
          <t>C1</t>
        </is>
      </c>
      <c r="G955" t="inlineStr">
        <is>
          <t>27.27860823</t>
        </is>
      </c>
      <c r="H955" t="n">
        <v>-168.1708969</v>
      </c>
      <c r="I955" t="inlineStr">
        <is>
          <t>C1</t>
        </is>
      </c>
      <c r="J955" t="n">
        <v>0.0404654240325255</v>
      </c>
      <c r="K955" t="inlineStr"/>
      <c r="L955" t="n">
        <v>0.97689</v>
      </c>
      <c r="M955" t="n">
        <v>0.987581639</v>
      </c>
      <c r="N955" t="inlineStr">
        <is>
          <t>Yes</t>
        </is>
      </c>
      <c r="O955" t="inlineStr">
        <is>
          <t>improve</t>
        </is>
      </c>
      <c r="P955" t="inlineStr">
        <is>
          <t>adjusted decimals</t>
        </is>
      </c>
      <c r="Q955" t="inlineStr"/>
      <c r="R955" t="inlineStr"/>
      <c r="S955">
        <f>HYPERLINK("https://helical-indexing-hi3d.streamlit.app/?emd_id=emd-11818&amp;rise=27.27860823&amp;twist=-168.1708969&amp;csym=1&amp;rise2=27.3&amp;twist2=-168.1&amp;csym2=1", "Link")</f>
        <v/>
      </c>
    </row>
    <row r="956">
      <c r="A956" t="inlineStr">
        <is>
          <t>EMD-7027</t>
        </is>
      </c>
      <c r="B956" t="inlineStr">
        <is>
          <t>microtubule</t>
        </is>
      </c>
      <c r="C956" t="n">
        <v>3.78</v>
      </c>
      <c r="D956" t="n">
        <v>5.5</v>
      </c>
      <c r="E956" t="n">
        <v>168.083</v>
      </c>
      <c r="F956" t="inlineStr">
        <is>
          <t>C1</t>
        </is>
      </c>
      <c r="G956" t="inlineStr">
        <is>
          <t>5.5</t>
        </is>
      </c>
      <c r="H956" t="n">
        <v>168.083</v>
      </c>
      <c r="I956" t="inlineStr">
        <is>
          <t>C1</t>
        </is>
      </c>
      <c r="J956" t="n">
        <v>0</v>
      </c>
      <c r="K956" t="inlineStr"/>
      <c r="L956" t="n">
        <v>0.961731117</v>
      </c>
      <c r="M956" t="n">
        <v>0.961731117</v>
      </c>
      <c r="N956" t="inlineStr">
        <is>
          <t>Yes</t>
        </is>
      </c>
      <c r="O956" t="inlineStr">
        <is>
          <t>equal</t>
        </is>
      </c>
      <c r="P956" t="inlineStr">
        <is>
          <t>deposited</t>
        </is>
      </c>
      <c r="Q956" t="inlineStr"/>
      <c r="R956" t="inlineStr"/>
      <c r="S956">
        <f>HYPERLINK("https://helical-indexing-hi3d.streamlit.app/?emd_id=emd-7027&amp;rise=5.5&amp;twist=168.083&amp;csym=1&amp;rise2=5.5&amp;twist2=168.083&amp;csym2=1", "Link")</f>
        <v/>
      </c>
    </row>
    <row r="957">
      <c r="A957" t="inlineStr">
        <is>
          <t>EMD-10566</t>
        </is>
      </c>
      <c r="B957" t="inlineStr">
        <is>
          <t>non-amyloid</t>
        </is>
      </c>
      <c r="C957" t="n">
        <v>3.78</v>
      </c>
      <c r="D957" t="n">
        <v>38.4</v>
      </c>
      <c r="E957" t="n">
        <v>24.4</v>
      </c>
      <c r="F957" t="inlineStr">
        <is>
          <t>C6</t>
        </is>
      </c>
      <c r="G957" t="inlineStr">
        <is>
          <t>38.25437838</t>
        </is>
      </c>
      <c r="H957" t="n">
        <v>24.23855692</v>
      </c>
      <c r="I957" t="inlineStr">
        <is>
          <t>C6</t>
        </is>
      </c>
      <c r="J957" t="n">
        <v>0.1474663029831084</v>
      </c>
      <c r="K957" t="inlineStr"/>
      <c r="L957" t="n">
        <v>0.8711100000000001</v>
      </c>
      <c r="M957" t="n">
        <v>0.871256203</v>
      </c>
      <c r="N957" t="inlineStr">
        <is>
          <t>Yes</t>
        </is>
      </c>
      <c r="O957" t="inlineStr">
        <is>
          <t>improve</t>
        </is>
      </c>
      <c r="P957" t="inlineStr">
        <is>
          <t>adjusted decimals</t>
        </is>
      </c>
      <c r="Q957" t="inlineStr"/>
      <c r="R957" t="inlineStr"/>
      <c r="S957">
        <f>HYPERLINK("https://helical-indexing-hi3d.streamlit.app/?emd_id=emd-10566&amp;rise=38.25437838&amp;twist=24.23855692&amp;csym=6&amp;rise2=38.4&amp;twist2=24.4&amp;csym2=6", "Link")</f>
        <v/>
      </c>
    </row>
    <row r="958">
      <c r="A958" t="inlineStr">
        <is>
          <t>EMD-13440</t>
        </is>
      </c>
      <c r="B958" t="inlineStr">
        <is>
          <t>non-amyloid</t>
        </is>
      </c>
      <c r="C958" t="n">
        <v>3.79</v>
      </c>
      <c r="D958" t="n">
        <v>112.734</v>
      </c>
      <c r="E958" t="n">
        <v>-167.484</v>
      </c>
      <c r="F958" t="inlineStr">
        <is>
          <t>C2</t>
        </is>
      </c>
      <c r="G958" t="inlineStr">
        <is>
          <t>112.734</t>
        </is>
      </c>
      <c r="H958" t="n">
        <v>-167.484</v>
      </c>
      <c r="I958" t="inlineStr">
        <is>
          <t>C2</t>
        </is>
      </c>
      <c r="J958" t="n">
        <v>0</v>
      </c>
      <c r="K958" t="inlineStr"/>
      <c r="L958" t="n">
        <v>0.964975604</v>
      </c>
      <c r="M958" t="n">
        <v>0.964975604</v>
      </c>
      <c r="N958" t="inlineStr">
        <is>
          <t>Yes</t>
        </is>
      </c>
      <c r="O958" t="inlineStr">
        <is>
          <t>equal</t>
        </is>
      </c>
      <c r="P958" t="inlineStr">
        <is>
          <t>deposited</t>
        </is>
      </c>
      <c r="Q958" t="inlineStr"/>
      <c r="R958" t="inlineStr"/>
      <c r="S958">
        <f>HYPERLINK("https://helical-indexing-hi3d.streamlit.app/?emd_id=emd-13440&amp;rise=112.734&amp;twist=-167.484&amp;csym=2&amp;rise2=112.734&amp;twist2=-167.484&amp;csym2=2", "Link")</f>
        <v/>
      </c>
    </row>
    <row r="959">
      <c r="A959" t="inlineStr">
        <is>
          <t>EMD-15120</t>
        </is>
      </c>
      <c r="B959" t="inlineStr">
        <is>
          <t>microtubule</t>
        </is>
      </c>
      <c r="C959" t="n">
        <v>3.79</v>
      </c>
      <c r="D959" t="n">
        <v>9.460000000000001</v>
      </c>
      <c r="E959" t="n">
        <v>-27.67</v>
      </c>
      <c r="F959" t="inlineStr">
        <is>
          <t>C1</t>
        </is>
      </c>
      <c r="G959" t="inlineStr">
        <is>
          <t>3.282401482</t>
        </is>
      </c>
      <c r="H959" t="n">
        <v>110.7721673</v>
      </c>
      <c r="I959" t="inlineStr">
        <is>
          <t>C1</t>
        </is>
      </c>
      <c r="J959" t="n">
        <v>44.49489095583268</v>
      </c>
      <c r="K959" t="inlineStr"/>
      <c r="L959" t="n">
        <v>0.743949897</v>
      </c>
      <c r="M959" t="n">
        <v>0.912744041</v>
      </c>
      <c r="N959" t="inlineStr">
        <is>
          <t>Yes</t>
        </is>
      </c>
      <c r="O959" t="inlineStr">
        <is>
          <t>improve</t>
        </is>
      </c>
      <c r="P959" t="inlineStr">
        <is>
          <t>different</t>
        </is>
      </c>
      <c r="Q959" t="inlineStr">
        <is>
          <t>partial symmetry</t>
        </is>
      </c>
      <c r="R959" t="inlineStr"/>
      <c r="S959">
        <f>HYPERLINK("https://helical-indexing-hi3d.streamlit.app/?emd_id=emd-15120&amp;rise=3.282401482&amp;twist=110.7721673&amp;csym=1&amp;rise2=9.46&amp;twist2=-27.67&amp;csym2=1", "Link")</f>
        <v/>
      </c>
    </row>
    <row r="960">
      <c r="A960" t="inlineStr">
        <is>
          <t>EMD-5830</t>
        </is>
      </c>
      <c r="B960" t="inlineStr">
        <is>
          <t>non-amyloid</t>
        </is>
      </c>
      <c r="C960" t="n">
        <v>3.8</v>
      </c>
      <c r="D960" t="n">
        <v>13.95</v>
      </c>
      <c r="E960" t="n">
        <v>52.9</v>
      </c>
      <c r="F960" t="inlineStr">
        <is>
          <t>C3</t>
        </is>
      </c>
      <c r="G960" t="inlineStr">
        <is>
          <t>13.95</t>
        </is>
      </c>
      <c r="H960" t="n">
        <v>52.9</v>
      </c>
      <c r="I960" t="inlineStr">
        <is>
          <t>C3</t>
        </is>
      </c>
      <c r="J960" t="n">
        <v>0</v>
      </c>
      <c r="K960" t="inlineStr"/>
      <c r="L960" t="n">
        <v>0.92453</v>
      </c>
      <c r="M960" t="n">
        <v>0.92453</v>
      </c>
      <c r="N960" t="inlineStr">
        <is>
          <t>Yes</t>
        </is>
      </c>
      <c r="O960" t="inlineStr">
        <is>
          <t>equal</t>
        </is>
      </c>
      <c r="P960" t="inlineStr">
        <is>
          <t>deposited</t>
        </is>
      </c>
      <c r="Q960" t="inlineStr"/>
      <c r="R960" t="inlineStr"/>
      <c r="S960">
        <f>HYPERLINK("https://helical-indexing-hi3d.streamlit.app/?emd_id=emd-5830&amp;rise=13.95&amp;twist=52.9&amp;csym=3&amp;rise2=13.95&amp;twist2=52.9&amp;csym2=3", "Link")</f>
        <v/>
      </c>
    </row>
    <row r="961">
      <c r="A961" t="inlineStr">
        <is>
          <t>EMD-21578</t>
        </is>
      </c>
      <c r="B961" t="inlineStr">
        <is>
          <t>non-amyloid</t>
        </is>
      </c>
      <c r="C961" t="n">
        <v>3.8</v>
      </c>
      <c r="D961" t="n">
        <v>5.26051</v>
      </c>
      <c r="E961" t="n">
        <v>101.691</v>
      </c>
      <c r="F961" t="inlineStr">
        <is>
          <t>C1</t>
        </is>
      </c>
      <c r="G961" t="inlineStr">
        <is>
          <t>5.26051</t>
        </is>
      </c>
      <c r="H961" t="n">
        <v>101.691</v>
      </c>
      <c r="I961" t="inlineStr">
        <is>
          <t>C1</t>
        </is>
      </c>
      <c r="J961" t="n">
        <v>0</v>
      </c>
      <c r="K961" t="inlineStr"/>
      <c r="L961" t="n">
        <v>0.99542</v>
      </c>
      <c r="M961" t="n">
        <v>0.99542</v>
      </c>
      <c r="N961" t="inlineStr">
        <is>
          <t>Yes</t>
        </is>
      </c>
      <c r="O961" t="inlineStr">
        <is>
          <t>equal</t>
        </is>
      </c>
      <c r="P961" t="inlineStr">
        <is>
          <t>deposited</t>
        </is>
      </c>
      <c r="Q961" t="inlineStr"/>
      <c r="R961" t="inlineStr"/>
      <c r="S961">
        <f>HYPERLINK("https://helical-indexing-hi3d.streamlit.app/?emd_id=emd-21578&amp;rise=5.26051&amp;twist=101.691&amp;csym=1&amp;rise2=5.26051&amp;twist2=101.691&amp;csym2=1", "Link")</f>
        <v/>
      </c>
    </row>
    <row r="962">
      <c r="A962" t="inlineStr">
        <is>
          <t>EMD-8094</t>
        </is>
      </c>
      <c r="B962" t="inlineStr">
        <is>
          <t>microtubule</t>
        </is>
      </c>
      <c r="C962" t="n">
        <v>3.8</v>
      </c>
      <c r="D962" t="n">
        <v>9.44</v>
      </c>
      <c r="E962" t="n">
        <v>-27.69</v>
      </c>
      <c r="F962" t="inlineStr">
        <is>
          <t>C1</t>
        </is>
      </c>
      <c r="G962" t="inlineStr">
        <is>
          <t>9.44</t>
        </is>
      </c>
      <c r="H962" t="n">
        <v>-27.69</v>
      </c>
      <c r="I962" t="inlineStr">
        <is>
          <t>C1</t>
        </is>
      </c>
      <c r="J962" t="n">
        <v>0</v>
      </c>
      <c r="K962" t="inlineStr"/>
      <c r="L962" t="n">
        <v>0.898475333</v>
      </c>
      <c r="M962" t="n">
        <v>0.898475333</v>
      </c>
      <c r="N962" t="inlineStr">
        <is>
          <t>Yes</t>
        </is>
      </c>
      <c r="O962" t="inlineStr">
        <is>
          <t>equal</t>
        </is>
      </c>
      <c r="P962" t="inlineStr">
        <is>
          <t>deposited</t>
        </is>
      </c>
      <c r="Q962" t="inlineStr"/>
      <c r="R962" t="inlineStr"/>
      <c r="S962">
        <f>HYPERLINK("https://helical-indexing-hi3d.streamlit.app/?emd_id=emd-8094&amp;rise=9.44&amp;twist=-27.69&amp;csym=1&amp;rise2=9.44&amp;twist2=-27.69&amp;csym2=1", "Link")</f>
        <v/>
      </c>
    </row>
    <row r="963">
      <c r="A963" t="inlineStr">
        <is>
          <t>EMD-21816</t>
        </is>
      </c>
      <c r="B963" t="inlineStr">
        <is>
          <t>non-amyloid</t>
        </is>
      </c>
      <c r="C963" t="n">
        <v>3.8</v>
      </c>
      <c r="D963" t="n">
        <v>5.63</v>
      </c>
      <c r="E963" t="n">
        <v>12.9</v>
      </c>
      <c r="F963" t="inlineStr">
        <is>
          <t>C3</t>
        </is>
      </c>
      <c r="G963" t="inlineStr">
        <is>
          <t>5.63</t>
        </is>
      </c>
      <c r="H963" t="n">
        <v>12.9</v>
      </c>
      <c r="I963" t="inlineStr">
        <is>
          <t>C3</t>
        </is>
      </c>
      <c r="J963" t="n">
        <v>0</v>
      </c>
      <c r="K963" t="inlineStr"/>
      <c r="L963" t="n">
        <v>0.99737</v>
      </c>
      <c r="M963" t="n">
        <v>0.99737</v>
      </c>
      <c r="N963" t="inlineStr">
        <is>
          <t>Yes</t>
        </is>
      </c>
      <c r="O963" t="inlineStr">
        <is>
          <t>equal</t>
        </is>
      </c>
      <c r="P963" t="inlineStr">
        <is>
          <t>deposited</t>
        </is>
      </c>
      <c r="Q963" t="inlineStr"/>
      <c r="R963" t="inlineStr"/>
      <c r="S963">
        <f>HYPERLINK("https://helical-indexing-hi3d.streamlit.app/?emd_id=emd-21816&amp;rise=5.63&amp;twist=12.9&amp;csym=3&amp;rise2=5.63&amp;twist2=12.9&amp;csym2=3", "Link")</f>
        <v/>
      </c>
    </row>
    <row r="964">
      <c r="A964" t="inlineStr">
        <is>
          <t>EMD-13575</t>
        </is>
      </c>
      <c r="B964" t="inlineStr">
        <is>
          <t>non-amyloid</t>
        </is>
      </c>
      <c r="C964" t="n">
        <v>3.8</v>
      </c>
      <c r="D964" t="n">
        <v>69.5</v>
      </c>
      <c r="E964" t="n">
        <v>83.2</v>
      </c>
      <c r="F964" t="inlineStr">
        <is>
          <t>D2</t>
        </is>
      </c>
      <c r="G964" t="inlineStr">
        <is>
          <t>69.5</t>
        </is>
      </c>
      <c r="H964" t="n">
        <v>83.2</v>
      </c>
      <c r="I964" t="inlineStr">
        <is>
          <t>CD2</t>
        </is>
      </c>
      <c r="J964" t="n">
        <v>0</v>
      </c>
      <c r="K964" t="inlineStr"/>
      <c r="L964" t="n">
        <v>0.889432672</v>
      </c>
      <c r="M964" t="n">
        <v>0.889432672</v>
      </c>
      <c r="N964" t="inlineStr">
        <is>
          <t>Yes</t>
        </is>
      </c>
      <c r="O964" t="inlineStr">
        <is>
          <t>equal</t>
        </is>
      </c>
      <c r="P964" t="inlineStr">
        <is>
          <t>deposited</t>
        </is>
      </c>
      <c r="Q964" t="inlineStr"/>
      <c r="R964" t="inlineStr"/>
      <c r="S964">
        <f>HYPERLINK("https://helical-indexing-hi3d.streamlit.app/?emd_id=emd-13575&amp;rise=69.5&amp;twist=83.2&amp;csym=D2&amp;rise2=69.5&amp;twist2=83.2&amp;csym2=2", "Link")</f>
        <v/>
      </c>
    </row>
    <row r="965">
      <c r="A965" t="inlineStr">
        <is>
          <t>EMD-25159</t>
        </is>
      </c>
      <c r="B965" t="inlineStr">
        <is>
          <t>microtubule</t>
        </is>
      </c>
      <c r="C965" t="n">
        <v>3.8</v>
      </c>
      <c r="D965" t="n">
        <v>81.64</v>
      </c>
      <c r="E965" t="n">
        <v>-0.19</v>
      </c>
      <c r="F965" t="inlineStr">
        <is>
          <t>C1</t>
        </is>
      </c>
      <c r="G965" t="inlineStr">
        <is>
          <t>81.64</t>
        </is>
      </c>
      <c r="H965" t="n">
        <v>-0.19</v>
      </c>
      <c r="I965" t="inlineStr">
        <is>
          <t>C1</t>
        </is>
      </c>
      <c r="J965" t="n">
        <v>0</v>
      </c>
      <c r="K965" t="inlineStr"/>
      <c r="L965" t="n">
        <v>0.878450999</v>
      </c>
      <c r="M965" t="n">
        <v>0.878450999</v>
      </c>
      <c r="N965" t="inlineStr">
        <is>
          <t>Yes</t>
        </is>
      </c>
      <c r="O965" t="inlineStr">
        <is>
          <t>equal</t>
        </is>
      </c>
      <c r="P965" t="inlineStr">
        <is>
          <t>deposited</t>
        </is>
      </c>
      <c r="Q965" t="inlineStr">
        <is>
          <t>check</t>
        </is>
      </c>
      <c r="R965" t="inlineStr"/>
      <c r="S965">
        <f>HYPERLINK("https://helical-indexing-hi3d.streamlit.app/?emd_id=emd-25159&amp;rise=81.64&amp;twist=-0.19&amp;csym=1&amp;rise2=81.64&amp;twist2=-0.19&amp;csym2=1", "Link")</f>
        <v/>
      </c>
    </row>
    <row r="966">
      <c r="A966" t="inlineStr">
        <is>
          <t>EMD-24724</t>
        </is>
      </c>
      <c r="B966" t="inlineStr">
        <is>
          <t>non-amyloid</t>
        </is>
      </c>
      <c r="C966" t="n">
        <v>3.8</v>
      </c>
      <c r="D966" t="n">
        <v>1.907</v>
      </c>
      <c r="E966" t="n">
        <v>124.3</v>
      </c>
      <c r="F966" t="inlineStr">
        <is>
          <t>C1</t>
        </is>
      </c>
      <c r="G966" t="inlineStr">
        <is>
          <t>1.907</t>
        </is>
      </c>
      <c r="H966" t="n">
        <v>124.3</v>
      </c>
      <c r="I966" t="inlineStr">
        <is>
          <t>C1</t>
        </is>
      </c>
      <c r="J966" t="n">
        <v>0</v>
      </c>
      <c r="K966" t="inlineStr"/>
      <c r="L966" t="n">
        <v>0.89534</v>
      </c>
      <c r="M966" t="n">
        <v>0.89534</v>
      </c>
      <c r="N966" t="inlineStr">
        <is>
          <t>Yes</t>
        </is>
      </c>
      <c r="O966" t="inlineStr">
        <is>
          <t>equal</t>
        </is>
      </c>
      <c r="P966" t="inlineStr">
        <is>
          <t>deposited</t>
        </is>
      </c>
      <c r="Q966" t="inlineStr"/>
      <c r="R966" t="inlineStr"/>
      <c r="S966">
        <f>HYPERLINK("https://helical-indexing-hi3d.streamlit.app/?emd_id=emd-24724&amp;rise=1.907&amp;twist=124.3&amp;csym=1&amp;rise2=1.907&amp;twist2=124.3&amp;csym2=1", "Link")</f>
        <v/>
      </c>
    </row>
    <row r="967">
      <c r="A967" t="inlineStr">
        <is>
          <t>EMD-28699</t>
        </is>
      </c>
      <c r="B967" t="inlineStr">
        <is>
          <t>non-amyloid</t>
        </is>
      </c>
      <c r="C967" t="n">
        <v>3.8</v>
      </c>
      <c r="D967" t="n">
        <v>3.08</v>
      </c>
      <c r="E967" t="n">
        <v>-20.82</v>
      </c>
      <c r="F967" t="inlineStr">
        <is>
          <t>C1</t>
        </is>
      </c>
      <c r="G967" t="inlineStr">
        <is>
          <t>3.028114829</t>
        </is>
      </c>
      <c r="H967" t="n">
        <v>-20.83412774</v>
      </c>
      <c r="I967" t="inlineStr">
        <is>
          <t>C1</t>
        </is>
      </c>
      <c r="J967" t="n">
        <v>0.054689302</v>
      </c>
      <c r="K967" t="inlineStr"/>
      <c r="L967" t="n">
        <v>0.7834508610000001</v>
      </c>
      <c r="M967" t="n">
        <v>0.8641240059999999</v>
      </c>
      <c r="N967" t="inlineStr">
        <is>
          <t>Yes</t>
        </is>
      </c>
      <c r="O967" t="inlineStr">
        <is>
          <t>improve</t>
        </is>
      </c>
      <c r="P967" t="inlineStr">
        <is>
          <t>adjusted decimals</t>
        </is>
      </c>
      <c r="Q967" t="inlineStr"/>
      <c r="R967" t="inlineStr"/>
      <c r="S967">
        <f>HYPERLINK("https://helical-indexing-hi3d.streamlit.app/?emd_id=emd-28699&amp;rise=3.028114829&amp;twist=-20.83412774&amp;csym=1&amp;rise2=3.08&amp;twist2=-20.82&amp;csym2=1", "Link")</f>
        <v/>
      </c>
    </row>
    <row r="968">
      <c r="A968" t="inlineStr">
        <is>
          <t>EMD-11079</t>
        </is>
      </c>
      <c r="B968" t="inlineStr">
        <is>
          <t>non-amyloid</t>
        </is>
      </c>
      <c r="C968" t="n">
        <v>3.8</v>
      </c>
      <c r="D968" t="n">
        <v>3.08413</v>
      </c>
      <c r="E968" t="n">
        <v>-11.1081</v>
      </c>
      <c r="F968" t="inlineStr">
        <is>
          <t>D1</t>
        </is>
      </c>
      <c r="G968" t="inlineStr">
        <is>
          <t>3.08413</t>
        </is>
      </c>
      <c r="H968" t="n">
        <v>-11.1081</v>
      </c>
      <c r="I968" t="inlineStr">
        <is>
          <t>CD1</t>
        </is>
      </c>
      <c r="J968" t="n">
        <v>0</v>
      </c>
      <c r="K968" t="inlineStr"/>
      <c r="L968" t="n">
        <v>0.9674928779999999</v>
      </c>
      <c r="M968" t="n">
        <v>0.9674928779999999</v>
      </c>
      <c r="N968" t="inlineStr">
        <is>
          <t>Yes</t>
        </is>
      </c>
      <c r="O968" t="inlineStr">
        <is>
          <t>equal</t>
        </is>
      </c>
      <c r="P968" t="inlineStr">
        <is>
          <t>deposited</t>
        </is>
      </c>
      <c r="Q968" t="inlineStr"/>
      <c r="R968" t="inlineStr"/>
      <c r="S968">
        <f>HYPERLINK("https://helical-indexing-hi3d.streamlit.app/?emd_id=emd-11079&amp;rise=3.08413&amp;twist=-11.1081&amp;csym=D1&amp;rise2=3.08413&amp;twist2=-11.1081&amp;csym2=1", "Link")</f>
        <v/>
      </c>
    </row>
    <row r="969">
      <c r="A969" t="inlineStr">
        <is>
          <t>EMD-30171</t>
        </is>
      </c>
      <c r="B969" t="inlineStr">
        <is>
          <t>non-amyloid</t>
        </is>
      </c>
      <c r="C969" t="n">
        <v>3.8</v>
      </c>
      <c r="D969" t="n">
        <v>27.5</v>
      </c>
      <c r="E969" t="n">
        <v>-166.6</v>
      </c>
      <c r="F969" t="inlineStr">
        <is>
          <t>C1</t>
        </is>
      </c>
      <c r="G969" t="inlineStr">
        <is>
          <t>27.5</t>
        </is>
      </c>
      <c r="H969" t="n">
        <v>-166.6</v>
      </c>
      <c r="I969" t="inlineStr">
        <is>
          <t>C1</t>
        </is>
      </c>
      <c r="J969" t="n">
        <v>0</v>
      </c>
      <c r="K969" t="inlineStr"/>
      <c r="L969" t="n">
        <v>0.89316</v>
      </c>
      <c r="M969" t="n">
        <v>0.89316</v>
      </c>
      <c r="N969" t="inlineStr">
        <is>
          <t>Yes</t>
        </is>
      </c>
      <c r="O969" t="inlineStr">
        <is>
          <t>equal</t>
        </is>
      </c>
      <c r="P969" t="inlineStr">
        <is>
          <t>deposited</t>
        </is>
      </c>
      <c r="Q969" t="inlineStr"/>
      <c r="R969" t="inlineStr"/>
      <c r="S969">
        <f>HYPERLINK("https://helical-indexing-hi3d.streamlit.app/?emd_id=emd-30171&amp;rise=27.5&amp;twist=-166.6&amp;csym=1&amp;rise2=27.5&amp;twist2=-166.6&amp;csym2=1", "Link")</f>
        <v/>
      </c>
    </row>
    <row r="970">
      <c r="A970" t="inlineStr">
        <is>
          <t>EMD-7330</t>
        </is>
      </c>
      <c r="B970" t="inlineStr">
        <is>
          <t>non-amyloid</t>
        </is>
      </c>
      <c r="C970" t="n">
        <v>3.8</v>
      </c>
      <c r="D970" t="n">
        <v>27.5</v>
      </c>
      <c r="E970" t="n">
        <v>-167.4</v>
      </c>
      <c r="F970" t="inlineStr">
        <is>
          <t>C1</t>
        </is>
      </c>
      <c r="G970" t="inlineStr">
        <is>
          <t>27.5</t>
        </is>
      </c>
      <c r="H970" t="n">
        <v>-167.4</v>
      </c>
      <c r="I970" t="inlineStr">
        <is>
          <t>C1</t>
        </is>
      </c>
      <c r="J970" t="n">
        <v>0</v>
      </c>
      <c r="K970" t="inlineStr"/>
      <c r="L970" t="n">
        <v>0.8305932700000001</v>
      </c>
      <c r="M970" t="n">
        <v>0.8305932700000001</v>
      </c>
      <c r="N970" t="inlineStr">
        <is>
          <t>Yes</t>
        </is>
      </c>
      <c r="O970" t="inlineStr">
        <is>
          <t>equal</t>
        </is>
      </c>
      <c r="P970" t="inlineStr">
        <is>
          <t>deposited</t>
        </is>
      </c>
      <c r="Q970" t="inlineStr"/>
      <c r="R970" t="inlineStr"/>
      <c r="S970">
        <f>HYPERLINK("https://helical-indexing-hi3d.streamlit.app/?emd_id=emd-7330&amp;rise=27.5&amp;twist=-167.4&amp;csym=1&amp;rise2=27.5&amp;twist2=-167.4&amp;csym2=1", "Link")</f>
        <v/>
      </c>
    </row>
    <row r="971">
      <c r="A971" t="inlineStr">
        <is>
          <t>EMD-22335</t>
        </is>
      </c>
      <c r="B971" t="inlineStr">
        <is>
          <t>non-amyloid</t>
        </is>
      </c>
      <c r="C971" t="n">
        <v>3.8</v>
      </c>
      <c r="D971" t="n">
        <v>27.3</v>
      </c>
      <c r="E971" t="n">
        <v>-166.7</v>
      </c>
      <c r="F971" t="inlineStr">
        <is>
          <t>C1</t>
        </is>
      </c>
      <c r="G971" t="inlineStr"/>
      <c r="H971" t="inlineStr"/>
      <c r="I971" t="inlineStr">
        <is>
          <t>C1</t>
        </is>
      </c>
      <c r="J971" t="inlineStr"/>
      <c r="K971" t="inlineStr"/>
      <c r="L971" t="inlineStr"/>
      <c r="M971" t="inlineStr"/>
      <c r="N971" t="inlineStr">
        <is>
          <t>No</t>
        </is>
      </c>
      <c r="O971" t="inlineStr"/>
      <c r="P971" t="inlineStr">
        <is>
          <t>single unit</t>
        </is>
      </c>
      <c r="Q971" t="inlineStr"/>
      <c r="R971" t="inlineStr"/>
      <c r="S971">
        <f>HYPERLINK("https://helical-indexing-hi3d.streamlit.app/?emd_id=emd-22335&amp;rise=nan&amp;twist=nan&amp;csym=1&amp;rise2=27.3&amp;twist2=-166.7&amp;csym2=1", "Link")</f>
        <v/>
      </c>
    </row>
    <row r="972">
      <c r="A972" t="inlineStr">
        <is>
          <t>EMD-25160</t>
        </is>
      </c>
      <c r="B972" t="inlineStr">
        <is>
          <t>microtubule</t>
        </is>
      </c>
      <c r="C972" t="n">
        <v>3.8</v>
      </c>
      <c r="D972" t="n">
        <v>0.13</v>
      </c>
      <c r="E972" t="n">
        <v>83.45</v>
      </c>
      <c r="F972" t="inlineStr">
        <is>
          <t>C1</t>
        </is>
      </c>
      <c r="G972" t="inlineStr">
        <is>
          <t>83.45</t>
        </is>
      </c>
      <c r="H972" t="n">
        <v>0.13</v>
      </c>
      <c r="I972" t="inlineStr">
        <is>
          <t>C1</t>
        </is>
      </c>
      <c r="J972" t="n">
        <v>86.06724643</v>
      </c>
      <c r="K972" t="inlineStr"/>
      <c r="L972" t="inlineStr"/>
      <c r="M972" t="n">
        <v>0.805969806</v>
      </c>
      <c r="N972" t="inlineStr">
        <is>
          <t>Yes</t>
        </is>
      </c>
      <c r="O972" t="inlineStr">
        <is>
          <t>improve</t>
        </is>
      </c>
      <c r="P972" t="inlineStr">
        <is>
          <t>interchanged values</t>
        </is>
      </c>
      <c r="Q972" t="inlineStr"/>
      <c r="R972" t="inlineStr"/>
      <c r="S972">
        <f>HYPERLINK("https://helical-indexing-hi3d.streamlit.app/?emd_id=emd-25160&amp;rise=83.45&amp;twist=0.13&amp;csym=1&amp;rise2=0.13&amp;twist2=83.45&amp;csym2=1", "Link")</f>
        <v/>
      </c>
    </row>
    <row r="973">
      <c r="A973" t="inlineStr">
        <is>
          <t>EMD-20694</t>
        </is>
      </c>
      <c r="B973" t="inlineStr">
        <is>
          <t>non-amyloid</t>
        </is>
      </c>
      <c r="C973" t="n">
        <v>3.8</v>
      </c>
      <c r="D973" t="n">
        <v>29.508839</v>
      </c>
      <c r="E973" t="n">
        <v>-166.96762</v>
      </c>
      <c r="F973" t="inlineStr">
        <is>
          <t>C1</t>
        </is>
      </c>
      <c r="G973" t="inlineStr">
        <is>
          <t>29.508839</t>
        </is>
      </c>
      <c r="H973" t="n">
        <v>-166.96762</v>
      </c>
      <c r="I973" t="inlineStr">
        <is>
          <t>C1</t>
        </is>
      </c>
      <c r="J973" t="n">
        <v>0</v>
      </c>
      <c r="K973" t="inlineStr"/>
      <c r="L973" t="n">
        <v>0.95913</v>
      </c>
      <c r="M973" t="n">
        <v>0.95913</v>
      </c>
      <c r="N973" t="inlineStr">
        <is>
          <t>Yes</t>
        </is>
      </c>
      <c r="O973" t="inlineStr">
        <is>
          <t>equal</t>
        </is>
      </c>
      <c r="P973" t="inlineStr">
        <is>
          <t>deposited</t>
        </is>
      </c>
      <c r="Q973" t="inlineStr"/>
      <c r="R973" t="inlineStr"/>
      <c r="S973">
        <f>HYPERLINK("https://helical-indexing-hi3d.streamlit.app/?emd_id=emd-20694&amp;rise=29.508839&amp;twist=-166.96762&amp;csym=1&amp;rise2=29.508839&amp;twist2=-166.96762&amp;csym2=1", "Link")</f>
        <v/>
      </c>
    </row>
    <row r="974">
      <c r="A974" t="inlineStr">
        <is>
          <t>EMD-27911</t>
        </is>
      </c>
      <c r="B974" t="inlineStr">
        <is>
          <t>non-amyloid</t>
        </is>
      </c>
      <c r="C974" t="n">
        <v>3.8</v>
      </c>
      <c r="D974" t="n">
        <v>32.38</v>
      </c>
      <c r="E974" t="n">
        <v>54.72</v>
      </c>
      <c r="F974" t="inlineStr">
        <is>
          <t>C1</t>
        </is>
      </c>
      <c r="G974" t="inlineStr">
        <is>
          <t>32.34945595</t>
        </is>
      </c>
      <c r="H974" t="n">
        <v>54.70610826</v>
      </c>
      <c r="I974" t="inlineStr">
        <is>
          <t>C1</t>
        </is>
      </c>
      <c r="J974" t="n">
        <v>0.0306711128214386</v>
      </c>
      <c r="K974" t="inlineStr"/>
      <c r="L974" t="n">
        <v>0.9670800000000001</v>
      </c>
      <c r="M974" t="n">
        <v>0.968083294</v>
      </c>
      <c r="N974" t="inlineStr">
        <is>
          <t>Yes</t>
        </is>
      </c>
      <c r="O974" t="inlineStr">
        <is>
          <t>improve</t>
        </is>
      </c>
      <c r="P974" t="inlineStr">
        <is>
          <t>adjusted decimals</t>
        </is>
      </c>
      <c r="Q974" t="inlineStr"/>
      <c r="R974" t="inlineStr"/>
      <c r="S974">
        <f>HYPERLINK("https://helical-indexing-hi3d.streamlit.app/?emd_id=emd-27911&amp;rise=32.34945595&amp;twist=54.70610826&amp;csym=1&amp;rise2=32.38&amp;twist2=54.72&amp;csym2=1", "Link")</f>
        <v/>
      </c>
    </row>
    <row r="975">
      <c r="A975" t="inlineStr">
        <is>
          <t>EMD-10421</t>
        </is>
      </c>
      <c r="B975" t="inlineStr">
        <is>
          <t>microtubule</t>
        </is>
      </c>
      <c r="C975" t="n">
        <v>3.8</v>
      </c>
      <c r="D975" t="n">
        <v>8.9</v>
      </c>
      <c r="E975" t="n">
        <v>-25.7</v>
      </c>
      <c r="F975" t="inlineStr">
        <is>
          <t>C1</t>
        </is>
      </c>
      <c r="G975" t="inlineStr"/>
      <c r="H975" t="inlineStr"/>
      <c r="I975" t="inlineStr">
        <is>
          <t>C1</t>
        </is>
      </c>
      <c r="J975" t="inlineStr"/>
      <c r="K975" t="inlineStr"/>
      <c r="L975" t="n">
        <v>0.305204266</v>
      </c>
      <c r="M975" t="inlineStr"/>
      <c r="N975" t="inlineStr">
        <is>
          <t>Excluded</t>
        </is>
      </c>
      <c r="O975" t="inlineStr">
        <is>
          <t>worse</t>
        </is>
      </c>
      <c r="P975" t="inlineStr">
        <is>
          <t>z-shifted</t>
        </is>
      </c>
      <c r="Q975" t="inlineStr"/>
      <c r="R975" t="inlineStr"/>
      <c r="S975">
        <f>HYPERLINK("https://helical-indexing-hi3d.streamlit.app/?emd_id=emd-10421&amp;rise=nan&amp;twist=nan&amp;csym=1&amp;rise2=8.9&amp;twist2=-25.7&amp;csym2=1", "Link")</f>
        <v/>
      </c>
    </row>
    <row r="976">
      <c r="A976" t="inlineStr">
        <is>
          <t>EMD-15525</t>
        </is>
      </c>
      <c r="B976" t="inlineStr">
        <is>
          <t>non-amyloid</t>
        </is>
      </c>
      <c r="C976" t="n">
        <v>3.8</v>
      </c>
      <c r="D976" t="n">
        <v>14.97</v>
      </c>
      <c r="E976" t="n">
        <v>58.62</v>
      </c>
      <c r="F976" t="inlineStr">
        <is>
          <t>C1</t>
        </is>
      </c>
      <c r="G976" t="inlineStr">
        <is>
          <t>14.97</t>
        </is>
      </c>
      <c r="H976" t="n">
        <v>58.62</v>
      </c>
      <c r="I976" t="inlineStr">
        <is>
          <t>C1</t>
        </is>
      </c>
      <c r="J976" t="n">
        <v>0</v>
      </c>
      <c r="K976" t="inlineStr">
        <is>
          <t>z -&gt; x</t>
        </is>
      </c>
      <c r="L976" t="n">
        <v>0.88048</v>
      </c>
      <c r="M976" t="n">
        <v>0.88048</v>
      </c>
      <c r="N976" t="inlineStr">
        <is>
          <t>Yes</t>
        </is>
      </c>
      <c r="O976" t="inlineStr">
        <is>
          <t>equal</t>
        </is>
      </c>
      <c r="P976" t="inlineStr">
        <is>
          <t>deposited</t>
        </is>
      </c>
      <c r="Q976" t="inlineStr"/>
      <c r="R976" t="inlineStr"/>
      <c r="S976">
        <f>HYPERLINK("https://helical-indexing-hi3d.streamlit.app/?emd_id=emd-15525&amp;rise=14.97&amp;twist=58.62&amp;csym=1&amp;rise2=14.97&amp;twist2=58.62&amp;csym2=1", "Link")</f>
        <v/>
      </c>
    </row>
    <row r="977">
      <c r="A977" t="inlineStr">
        <is>
          <t>EMD-15490</t>
        </is>
      </c>
      <c r="B977" t="inlineStr">
        <is>
          <t>non-amyloid</t>
        </is>
      </c>
      <c r="C977" t="n">
        <v>3.8</v>
      </c>
      <c r="D977" t="n">
        <v>5.75</v>
      </c>
      <c r="E977" t="n">
        <v>34.4</v>
      </c>
      <c r="F977" t="inlineStr">
        <is>
          <t>C2</t>
        </is>
      </c>
      <c r="G977" t="inlineStr">
        <is>
          <t>5.754616676</t>
        </is>
      </c>
      <c r="H977" t="n">
        <v>34.33126783</v>
      </c>
      <c r="I977" t="inlineStr">
        <is>
          <t>C2</t>
        </is>
      </c>
      <c r="J977" t="n">
        <v>0.0219609259277777</v>
      </c>
      <c r="K977" t="inlineStr"/>
      <c r="L977" t="n">
        <v>0.8330201699999999</v>
      </c>
      <c r="M977" t="n">
        <v>0.879749087</v>
      </c>
      <c r="N977" t="inlineStr">
        <is>
          <t>Yes</t>
        </is>
      </c>
      <c r="O977" t="inlineStr">
        <is>
          <t>improve</t>
        </is>
      </c>
      <c r="P977" t="inlineStr">
        <is>
          <t>adjusted decimals</t>
        </is>
      </c>
      <c r="Q977" t="inlineStr"/>
      <c r="R977" t="inlineStr"/>
      <c r="S977">
        <f>HYPERLINK("https://helical-indexing-hi3d.streamlit.app/?emd_id=emd-15490&amp;rise=5.754616676&amp;twist=34.33126783&amp;csym=2&amp;rise2=5.75&amp;twist2=34.4&amp;csym2=2", "Link")</f>
        <v/>
      </c>
    </row>
    <row r="978">
      <c r="A978" t="inlineStr">
        <is>
          <t>EMD-41170</t>
        </is>
      </c>
      <c r="B978" t="inlineStr">
        <is>
          <t>microtubule</t>
        </is>
      </c>
      <c r="C978" t="n">
        <v>3.8</v>
      </c>
      <c r="D978" t="n">
        <v>82</v>
      </c>
      <c r="E978" t="n">
        <v>0</v>
      </c>
      <c r="F978" t="inlineStr">
        <is>
          <t>C1</t>
        </is>
      </c>
      <c r="G978" t="inlineStr"/>
      <c r="H978" t="inlineStr"/>
      <c r="I978" t="inlineStr">
        <is>
          <t>C1</t>
        </is>
      </c>
      <c r="J978" t="inlineStr"/>
      <c r="K978" t="inlineStr"/>
      <c r="L978" t="n">
        <v>0.76912</v>
      </c>
      <c r="M978" t="n">
        <v>0.76912</v>
      </c>
      <c r="N978" t="inlineStr">
        <is>
          <t>Excluded</t>
        </is>
      </c>
      <c r="O978" t="inlineStr">
        <is>
          <t>equal</t>
        </is>
      </c>
      <c r="P978" t="inlineStr">
        <is>
          <t>partial map</t>
        </is>
      </c>
      <c r="Q978" t="inlineStr"/>
      <c r="R978" t="inlineStr"/>
      <c r="S978">
        <f>HYPERLINK("https://helical-indexing-hi3d.streamlit.app/?emd_id=emd-41170&amp;rise=nan&amp;twist=nan&amp;csym=1&amp;rise2=82.0&amp;twist2=0.0&amp;csym2=1", "Link")</f>
        <v/>
      </c>
    </row>
    <row r="979">
      <c r="A979" t="inlineStr">
        <is>
          <t>EMD-4803</t>
        </is>
      </c>
      <c r="B979" t="inlineStr">
        <is>
          <t>non-amyloid</t>
        </is>
      </c>
      <c r="C979" t="n">
        <v>3.8</v>
      </c>
      <c r="D979" t="n">
        <v>34.97</v>
      </c>
      <c r="E979" t="n">
        <v>3.14</v>
      </c>
      <c r="F979" t="inlineStr">
        <is>
          <t>C6</t>
        </is>
      </c>
      <c r="G979" t="inlineStr">
        <is>
          <t>34.97</t>
        </is>
      </c>
      <c r="H979" t="n">
        <v>3.14</v>
      </c>
      <c r="I979" t="inlineStr">
        <is>
          <t>C6</t>
        </is>
      </c>
      <c r="J979" t="n">
        <v>0</v>
      </c>
      <c r="K979" t="inlineStr"/>
      <c r="L979" t="n">
        <v>0.92586</v>
      </c>
      <c r="M979" t="n">
        <v>0.92586</v>
      </c>
      <c r="N979" t="inlineStr">
        <is>
          <t>Yes</t>
        </is>
      </c>
      <c r="O979" t="inlineStr">
        <is>
          <t>equal</t>
        </is>
      </c>
      <c r="P979" t="inlineStr">
        <is>
          <t>deposited</t>
        </is>
      </c>
      <c r="Q979" t="inlineStr"/>
      <c r="R979" t="inlineStr"/>
      <c r="S979">
        <f>HYPERLINK("https://helical-indexing-hi3d.streamlit.app/?emd_id=emd-4803&amp;rise=34.97&amp;twist=3.14&amp;csym=6&amp;rise2=34.97&amp;twist2=3.14&amp;csym2=6", "Link")</f>
        <v/>
      </c>
    </row>
    <row r="980">
      <c r="A980" t="inlineStr">
        <is>
          <t>EMD-6844</t>
        </is>
      </c>
      <c r="B980" t="inlineStr">
        <is>
          <t>non-amyloid</t>
        </is>
      </c>
      <c r="C980" t="n">
        <v>3.8</v>
      </c>
      <c r="D980" t="n">
        <v>27.6</v>
      </c>
      <c r="E980" t="n">
        <v>-162.1</v>
      </c>
      <c r="F980" t="inlineStr">
        <is>
          <t>C1</t>
        </is>
      </c>
      <c r="G980" t="inlineStr">
        <is>
          <t>27.6</t>
        </is>
      </c>
      <c r="H980" t="n">
        <v>-162.1</v>
      </c>
      <c r="I980" t="inlineStr">
        <is>
          <t>C1</t>
        </is>
      </c>
      <c r="J980" t="n">
        <v>0</v>
      </c>
      <c r="K980" t="inlineStr"/>
      <c r="L980" t="n">
        <v>0.965012779</v>
      </c>
      <c r="M980" t="n">
        <v>0.965012779</v>
      </c>
      <c r="N980" t="inlineStr">
        <is>
          <t>Yes</t>
        </is>
      </c>
      <c r="O980" t="inlineStr">
        <is>
          <t>equal</t>
        </is>
      </c>
      <c r="P980" t="inlineStr">
        <is>
          <t>deposited</t>
        </is>
      </c>
      <c r="Q980" t="inlineStr"/>
      <c r="R980" t="inlineStr"/>
      <c r="S980">
        <f>HYPERLINK("https://helical-indexing-hi3d.streamlit.app/?emd_id=emd-6844&amp;rise=27.6&amp;twist=-162.1&amp;csym=1&amp;rise2=27.6&amp;twist2=-162.1&amp;csym2=1", "Link")</f>
        <v/>
      </c>
    </row>
    <row r="981">
      <c r="A981" t="inlineStr">
        <is>
          <t>EMD-15410</t>
        </is>
      </c>
      <c r="B981" t="inlineStr">
        <is>
          <t>non-amyloid</t>
        </is>
      </c>
      <c r="C981" t="n">
        <v>3.8</v>
      </c>
      <c r="D981" t="n">
        <v>19.4</v>
      </c>
      <c r="E981" t="n">
        <v>70</v>
      </c>
      <c r="F981" t="inlineStr">
        <is>
          <t>C1</t>
        </is>
      </c>
      <c r="G981" t="inlineStr">
        <is>
          <t>19.38129614</t>
        </is>
      </c>
      <c r="H981" t="n">
        <v>-70.0453061</v>
      </c>
      <c r="I981" t="inlineStr">
        <is>
          <t>C1</t>
        </is>
      </c>
      <c r="J981" t="n">
        <v>88.89464208052642</v>
      </c>
      <c r="K981" t="inlineStr">
        <is>
          <t> </t>
        </is>
      </c>
      <c r="L981" t="n">
        <v>0.76227933</v>
      </c>
      <c r="M981" t="n">
        <v>0.940272464</v>
      </c>
      <c r="N981" t="inlineStr">
        <is>
          <t>Yes</t>
        </is>
      </c>
      <c r="O981" t="inlineStr">
        <is>
          <t>improve</t>
        </is>
      </c>
      <c r="P981" t="inlineStr">
        <is>
          <t>twist sign</t>
        </is>
      </c>
      <c r="Q981" t="inlineStr"/>
      <c r="R981" t="inlineStr"/>
      <c r="S981">
        <f>HYPERLINK("https://helical-indexing-hi3d.streamlit.app/?emd_id=emd-15410&amp;rise=19.38129614&amp;twist=-70.0453061&amp;csym=1&amp;rise2=19.4&amp;twist2=70.0&amp;csym2=1", "Link")</f>
        <v/>
      </c>
    </row>
    <row r="982">
      <c r="A982" t="inlineStr">
        <is>
          <t>EMD-24736</t>
        </is>
      </c>
      <c r="B982" t="inlineStr">
        <is>
          <t>non-amyloid</t>
        </is>
      </c>
      <c r="C982" t="n">
        <v>3.8</v>
      </c>
      <c r="D982" t="n">
        <v>4.24</v>
      </c>
      <c r="E982" t="n">
        <v>63.35</v>
      </c>
      <c r="F982" t="inlineStr">
        <is>
          <t>C1</t>
        </is>
      </c>
      <c r="G982" t="inlineStr">
        <is>
          <t>4.24</t>
        </is>
      </c>
      <c r="H982" t="n">
        <v>63.35</v>
      </c>
      <c r="I982" t="inlineStr">
        <is>
          <t>C1</t>
        </is>
      </c>
      <c r="J982" t="n">
        <v>0</v>
      </c>
      <c r="K982" t="inlineStr"/>
      <c r="L982" t="n">
        <v>0.8837699999999999</v>
      </c>
      <c r="M982" t="n">
        <v>0.8837699999999999</v>
      </c>
      <c r="N982" t="inlineStr">
        <is>
          <t>Yes</t>
        </is>
      </c>
      <c r="O982" t="inlineStr">
        <is>
          <t>equal</t>
        </is>
      </c>
      <c r="P982" t="inlineStr">
        <is>
          <t>deposited</t>
        </is>
      </c>
      <c r="Q982" t="inlineStr"/>
      <c r="R982" t="inlineStr"/>
      <c r="S982">
        <f>HYPERLINK("https://helical-indexing-hi3d.streamlit.app/?emd_id=emd-24736&amp;rise=4.24&amp;twist=63.35&amp;csym=1&amp;rise2=4.24&amp;twist2=63.35&amp;csym2=1", "Link")</f>
        <v/>
      </c>
    </row>
    <row r="983">
      <c r="A983" t="inlineStr">
        <is>
          <t>EMD-4117</t>
        </is>
      </c>
      <c r="B983" t="inlineStr">
        <is>
          <t>non-amyloid</t>
        </is>
      </c>
      <c r="C983" t="n">
        <v>3.8</v>
      </c>
      <c r="D983" t="n">
        <v>25.6</v>
      </c>
      <c r="E983" t="n">
        <v>-161.9</v>
      </c>
      <c r="F983" t="inlineStr">
        <is>
          <t>C1</t>
        </is>
      </c>
      <c r="G983" t="inlineStr">
        <is>
          <t>25.6</t>
        </is>
      </c>
      <c r="H983" t="n">
        <v>-161.9</v>
      </c>
      <c r="I983" t="inlineStr">
        <is>
          <t>C1</t>
        </is>
      </c>
      <c r="J983" t="n">
        <v>0</v>
      </c>
      <c r="K983" t="inlineStr"/>
      <c r="L983" t="n">
        <v>0.89207</v>
      </c>
      <c r="M983" t="n">
        <v>0.89207</v>
      </c>
      <c r="N983" t="inlineStr">
        <is>
          <t>Yes</t>
        </is>
      </c>
      <c r="O983" t="inlineStr">
        <is>
          <t>equal</t>
        </is>
      </c>
      <c r="P983" t="inlineStr">
        <is>
          <t>deposited</t>
        </is>
      </c>
      <c r="Q983" t="inlineStr"/>
      <c r="R983" t="inlineStr"/>
      <c r="S983">
        <f>HYPERLINK("https://helical-indexing-hi3d.streamlit.app/?emd_id=emd-4117&amp;rise=25.6&amp;twist=-161.9&amp;csym=1&amp;rise2=25.6&amp;twist2=-161.9&amp;csym2=1", "Link")</f>
        <v/>
      </c>
    </row>
    <row r="984">
      <c r="A984" t="inlineStr">
        <is>
          <t>EMD-2839</t>
        </is>
      </c>
      <c r="B984" t="inlineStr">
        <is>
          <t>non-amyloid</t>
        </is>
      </c>
      <c r="C984" t="n">
        <v>3.8</v>
      </c>
      <c r="D984" t="n">
        <v>1.408</v>
      </c>
      <c r="E984" t="n">
        <v>22.03</v>
      </c>
      <c r="F984" t="inlineStr">
        <is>
          <t>C1</t>
        </is>
      </c>
      <c r="G984" t="inlineStr">
        <is>
          <t>1.408</t>
        </is>
      </c>
      <c r="H984" t="n">
        <v>22.03</v>
      </c>
      <c r="I984" t="inlineStr">
        <is>
          <t>C1</t>
        </is>
      </c>
      <c r="J984" t="n">
        <v>0</v>
      </c>
      <c r="K984" t="inlineStr"/>
      <c r="L984" t="n">
        <v>0.99638</v>
      </c>
      <c r="M984" t="n">
        <v>0.99638</v>
      </c>
      <c r="N984" t="inlineStr">
        <is>
          <t>Yes</t>
        </is>
      </c>
      <c r="O984" t="inlineStr">
        <is>
          <t>equal</t>
        </is>
      </c>
      <c r="P984" t="inlineStr">
        <is>
          <t>deposited</t>
        </is>
      </c>
      <c r="Q984" t="inlineStr"/>
      <c r="R984" t="inlineStr"/>
      <c r="S984">
        <f>HYPERLINK("https://helical-indexing-hi3d.streamlit.app/?emd_id=emd-2839&amp;rise=1.408&amp;twist=22.03&amp;csym=1&amp;rise2=1.408&amp;twist2=22.03&amp;csym2=1", "Link")</f>
        <v/>
      </c>
    </row>
    <row r="985">
      <c r="A985" t="inlineStr">
        <is>
          <t>EMD-6310</t>
        </is>
      </c>
      <c r="B985" t="inlineStr">
        <is>
          <t>non-amyloid</t>
        </is>
      </c>
      <c r="C985" t="n">
        <v>3.8</v>
      </c>
      <c r="D985" t="n">
        <v>2.9</v>
      </c>
      <c r="E985" t="n">
        <v>24.5</v>
      </c>
      <c r="F985" t="inlineStr">
        <is>
          <t>C1</t>
        </is>
      </c>
      <c r="G985" t="inlineStr">
        <is>
          <t>2.87819099</t>
        </is>
      </c>
      <c r="H985" t="n">
        <v>24.54545776</v>
      </c>
      <c r="I985" t="inlineStr">
        <is>
          <t>C1</t>
        </is>
      </c>
      <c r="J985" t="n">
        <v>0.0306435531225133</v>
      </c>
      <c r="K985" t="inlineStr"/>
      <c r="L985" t="n">
        <v>0.95674</v>
      </c>
      <c r="M985" t="n">
        <v>0.991456937</v>
      </c>
      <c r="N985" t="inlineStr">
        <is>
          <t>Yes</t>
        </is>
      </c>
      <c r="O985" t="inlineStr">
        <is>
          <t>improve</t>
        </is>
      </c>
      <c r="P985" t="inlineStr">
        <is>
          <t>adjusted decimals</t>
        </is>
      </c>
      <c r="Q985" t="inlineStr"/>
      <c r="R985" t="inlineStr"/>
      <c r="S985">
        <f>HYPERLINK("https://helical-indexing-hi3d.streamlit.app/?emd_id=emd-6310&amp;rise=2.87819099&amp;twist=24.54545776&amp;csym=1&amp;rise2=2.9&amp;twist2=24.5&amp;csym2=1", "Link")</f>
        <v/>
      </c>
    </row>
    <row r="986">
      <c r="A986" t="inlineStr">
        <is>
          <t>EMD-20309</t>
        </is>
      </c>
      <c r="B986" t="inlineStr">
        <is>
          <t>non-amyloid</t>
        </is>
      </c>
      <c r="C986" t="n">
        <v>3.8</v>
      </c>
      <c r="D986" t="n">
        <v>60.1</v>
      </c>
      <c r="E986" t="n">
        <v>120.4</v>
      </c>
      <c r="F986" t="inlineStr">
        <is>
          <t>D1</t>
        </is>
      </c>
      <c r="G986" t="inlineStr">
        <is>
          <t>60.1</t>
        </is>
      </c>
      <c r="H986" t="n">
        <v>120.4</v>
      </c>
      <c r="I986" t="inlineStr">
        <is>
          <t>CD1</t>
        </is>
      </c>
      <c r="J986" t="n">
        <v>0</v>
      </c>
      <c r="K986" t="inlineStr">
        <is>
          <t>z -&gt; x</t>
        </is>
      </c>
      <c r="L986" t="n">
        <v>0.9055299999999999</v>
      </c>
      <c r="M986" t="n">
        <v>0.9055299999999999</v>
      </c>
      <c r="N986" t="inlineStr">
        <is>
          <t>Yes</t>
        </is>
      </c>
      <c r="O986" t="inlineStr">
        <is>
          <t>equal</t>
        </is>
      </c>
      <c r="P986" t="inlineStr">
        <is>
          <t>deposited</t>
        </is>
      </c>
      <c r="Q986" t="inlineStr"/>
      <c r="R986" t="inlineStr"/>
      <c r="S986">
        <f>HYPERLINK("https://helical-indexing-hi3d.streamlit.app/?emd_id=emd-20309&amp;rise=60.1&amp;twist=120.4&amp;csym=D1&amp;rise2=60.1&amp;twist2=120.4&amp;csym2=1", "Link")</f>
        <v/>
      </c>
    </row>
    <row r="987">
      <c r="A987" t="inlineStr">
        <is>
          <t>EMD-20673</t>
        </is>
      </c>
      <c r="B987" t="inlineStr">
        <is>
          <t>non-amyloid</t>
        </is>
      </c>
      <c r="C987" t="n">
        <v>3.8</v>
      </c>
      <c r="D987" t="n">
        <v>10.88</v>
      </c>
      <c r="E987" t="n">
        <v>130.05</v>
      </c>
      <c r="F987" t="inlineStr">
        <is>
          <t>C1</t>
        </is>
      </c>
      <c r="G987" t="inlineStr">
        <is>
          <t>10.88</t>
        </is>
      </c>
      <c r="H987" t="n">
        <v>130.05</v>
      </c>
      <c r="I987" t="inlineStr">
        <is>
          <t>C1</t>
        </is>
      </c>
      <c r="J987" t="n">
        <v>0</v>
      </c>
      <c r="K987" t="inlineStr"/>
      <c r="L987" t="n">
        <v>0.9858176320000001</v>
      </c>
      <c r="M987" t="n">
        <v>0.9858176320000001</v>
      </c>
      <c r="N987" t="inlineStr">
        <is>
          <t>Yes</t>
        </is>
      </c>
      <c r="O987" t="inlineStr">
        <is>
          <t>equal</t>
        </is>
      </c>
      <c r="P987" t="inlineStr">
        <is>
          <t>deposited</t>
        </is>
      </c>
      <c r="Q987" t="inlineStr"/>
      <c r="R987" t="inlineStr"/>
      <c r="S987">
        <f>HYPERLINK("https://helical-indexing-hi3d.streamlit.app/?emd_id=emd-20673&amp;rise=10.88&amp;twist=130.05&amp;csym=1&amp;rise2=10.88&amp;twist2=130.05&amp;csym2=1", "Link")</f>
        <v/>
      </c>
    </row>
    <row r="988">
      <c r="A988" t="inlineStr">
        <is>
          <t>EMD-16170</t>
        </is>
      </c>
      <c r="B988" t="inlineStr">
        <is>
          <t>non-amyloid</t>
        </is>
      </c>
      <c r="C988" t="n">
        <v>3.8</v>
      </c>
      <c r="D988" t="n">
        <v>16.6</v>
      </c>
      <c r="E988" t="n">
        <v>56.7</v>
      </c>
      <c r="F988" t="inlineStr">
        <is>
          <t>C1</t>
        </is>
      </c>
      <c r="G988" t="inlineStr">
        <is>
          <t>16.65629735</t>
        </is>
      </c>
      <c r="H988" t="n">
        <v>56.63541313</v>
      </c>
      <c r="I988" t="inlineStr">
        <is>
          <t>C1</t>
        </is>
      </c>
      <c r="J988" t="n">
        <v>0.0580853825807947</v>
      </c>
      <c r="K988" t="inlineStr"/>
      <c r="L988" t="n">
        <v>0.87432</v>
      </c>
      <c r="M988" t="n">
        <v>0.879313927</v>
      </c>
      <c r="N988" t="inlineStr">
        <is>
          <t>Yes</t>
        </is>
      </c>
      <c r="O988" t="inlineStr">
        <is>
          <t>improve</t>
        </is>
      </c>
      <c r="P988" t="inlineStr">
        <is>
          <t>adjusted decimals</t>
        </is>
      </c>
      <c r="Q988" t="inlineStr"/>
      <c r="R988" t="inlineStr"/>
      <c r="S988">
        <f>HYPERLINK("https://helical-indexing-hi3d.streamlit.app/?emd_id=emd-16170&amp;rise=16.65629735&amp;twist=56.63541313&amp;csym=1&amp;rise2=16.6&amp;twist2=56.7&amp;csym2=1", "Link")</f>
        <v/>
      </c>
    </row>
    <row r="989">
      <c r="A989" t="inlineStr">
        <is>
          <t>EMD-25156</t>
        </is>
      </c>
      <c r="B989" t="inlineStr">
        <is>
          <t>microtubule</t>
        </is>
      </c>
      <c r="C989" t="n">
        <v>3.8</v>
      </c>
      <c r="D989" t="n">
        <v>81.5</v>
      </c>
      <c r="E989" t="n">
        <v>56.7</v>
      </c>
      <c r="F989" t="inlineStr">
        <is>
          <t>C1</t>
        </is>
      </c>
      <c r="G989" t="inlineStr">
        <is>
          <t>3.135084634</t>
        </is>
      </c>
      <c r="H989" t="n">
        <v>110.7704571</v>
      </c>
      <c r="I989" t="inlineStr">
        <is>
          <t>C1</t>
        </is>
      </c>
      <c r="J989" t="n">
        <v>84.12396263642786</v>
      </c>
      <c r="K989" t="inlineStr"/>
      <c r="L989" t="n">
        <v>0.410879044</v>
      </c>
      <c r="M989" t="n">
        <v>0.812923621</v>
      </c>
      <c r="N989" t="inlineStr">
        <is>
          <t>Yes</t>
        </is>
      </c>
      <c r="O989" t="inlineStr">
        <is>
          <t>improve</t>
        </is>
      </c>
      <c r="P989" t="inlineStr">
        <is>
          <t>different</t>
        </is>
      </c>
      <c r="Q989" t="inlineStr">
        <is>
          <t>partial symmetry</t>
        </is>
      </c>
      <c r="R989" t="inlineStr"/>
      <c r="S989">
        <f>HYPERLINK("https://helical-indexing-hi3d.streamlit.app/?emd_id=emd-25156&amp;rise=3.135084634&amp;twist=110.7704571&amp;csym=1&amp;rise2=81.5&amp;twist2=56.7&amp;csym2=1", "Link")</f>
        <v/>
      </c>
    </row>
    <row r="990">
      <c r="A990" t="inlineStr">
        <is>
          <t>EMD-3222</t>
        </is>
      </c>
      <c r="B990" t="inlineStr">
        <is>
          <t>non-amyloid</t>
        </is>
      </c>
      <c r="C990" t="n">
        <v>3.8</v>
      </c>
      <c r="D990" t="n">
        <v>7.7</v>
      </c>
      <c r="E990" t="n">
        <v>109.8</v>
      </c>
      <c r="F990" t="inlineStr">
        <is>
          <t>C1</t>
        </is>
      </c>
      <c r="G990" t="inlineStr">
        <is>
          <t>7.7</t>
        </is>
      </c>
      <c r="H990" t="n">
        <v>109.8</v>
      </c>
      <c r="I990" t="inlineStr">
        <is>
          <t>C1</t>
        </is>
      </c>
      <c r="J990" t="n">
        <v>0</v>
      </c>
      <c r="K990" t="inlineStr"/>
      <c r="L990" t="n">
        <v>0.9913999999999999</v>
      </c>
      <c r="M990" t="n">
        <v>0.9913999999999999</v>
      </c>
      <c r="N990" t="inlineStr">
        <is>
          <t>Yes</t>
        </is>
      </c>
      <c r="O990" t="inlineStr">
        <is>
          <t>equal</t>
        </is>
      </c>
      <c r="P990" t="inlineStr">
        <is>
          <t>deposited</t>
        </is>
      </c>
      <c r="Q990" t="inlineStr"/>
      <c r="R990" t="inlineStr"/>
      <c r="S990">
        <f>HYPERLINK("https://helical-indexing-hi3d.streamlit.app/?emd_id=emd-3222&amp;rise=7.7&amp;twist=109.8&amp;csym=1&amp;rise2=7.7&amp;twist2=109.8&amp;csym2=1", "Link")</f>
        <v/>
      </c>
    </row>
    <row r="991">
      <c r="A991" t="inlineStr">
        <is>
          <t>EMD-16799</t>
        </is>
      </c>
      <c r="B991" t="inlineStr">
        <is>
          <t>non-amyloid</t>
        </is>
      </c>
      <c r="C991" t="n">
        <v>3.8</v>
      </c>
      <c r="D991" t="n">
        <v>20.95</v>
      </c>
      <c r="E991" t="n">
        <v>-1.05</v>
      </c>
      <c r="F991" t="inlineStr">
        <is>
          <t>C1</t>
        </is>
      </c>
      <c r="G991" t="inlineStr">
        <is>
          <t>20.95</t>
        </is>
      </c>
      <c r="H991" t="n">
        <v>-1.05</v>
      </c>
      <c r="I991" t="inlineStr">
        <is>
          <t>C1</t>
        </is>
      </c>
      <c r="J991" t="n">
        <v>0</v>
      </c>
      <c r="K991" t="inlineStr"/>
      <c r="L991" t="n">
        <v>0.9333</v>
      </c>
      <c r="M991" t="n">
        <v>0.9333</v>
      </c>
      <c r="N991" t="inlineStr">
        <is>
          <t>Yes</t>
        </is>
      </c>
      <c r="O991" t="inlineStr">
        <is>
          <t>equal</t>
        </is>
      </c>
      <c r="P991" t="inlineStr">
        <is>
          <t>deposited</t>
        </is>
      </c>
      <c r="Q991" t="inlineStr"/>
      <c r="R991" t="inlineStr"/>
      <c r="S991">
        <f>HYPERLINK("https://helical-indexing-hi3d.streamlit.app/?emd_id=emd-16799&amp;rise=20.95&amp;twist=-1.05&amp;csym=1&amp;rise2=20.95&amp;twist2=-1.05&amp;csym2=1", "Link")</f>
        <v/>
      </c>
    </row>
    <row r="992">
      <c r="A992" t="inlineStr">
        <is>
          <t>EMD-24592</t>
        </is>
      </c>
      <c r="B992" t="inlineStr">
        <is>
          <t>non-amyloid</t>
        </is>
      </c>
      <c r="C992" t="n">
        <v>3.8</v>
      </c>
      <c r="D992" t="n">
        <v>4.378</v>
      </c>
      <c r="E992" t="n">
        <v>-7.716</v>
      </c>
      <c r="F992" t="inlineStr">
        <is>
          <t>C7</t>
        </is>
      </c>
      <c r="G992" t="inlineStr">
        <is>
          <t>4.378</t>
        </is>
      </c>
      <c r="H992" t="n">
        <v>-7.716</v>
      </c>
      <c r="I992" t="inlineStr">
        <is>
          <t>C7</t>
        </is>
      </c>
      <c r="J992" t="n">
        <v>0</v>
      </c>
      <c r="K992" t="inlineStr"/>
      <c r="L992" t="n">
        <v>0.9680302710000001</v>
      </c>
      <c r="M992" t="n">
        <v>0.9680302710000001</v>
      </c>
      <c r="N992" t="inlineStr">
        <is>
          <t>Yes</t>
        </is>
      </c>
      <c r="O992" t="inlineStr">
        <is>
          <t>equal</t>
        </is>
      </c>
      <c r="P992" t="inlineStr">
        <is>
          <t>deposited</t>
        </is>
      </c>
      <c r="Q992" t="inlineStr"/>
      <c r="R992" t="inlineStr"/>
      <c r="S992">
        <f>HYPERLINK("https://helical-indexing-hi3d.streamlit.app/?emd_id=emd-24592&amp;rise=4.378&amp;twist=-7.716&amp;csym=7&amp;rise2=4.378&amp;twist2=-7.716&amp;csym2=7", "Link")</f>
        <v/>
      </c>
    </row>
    <row r="993">
      <c r="A993" t="inlineStr">
        <is>
          <t>EMD-21225</t>
        </is>
      </c>
      <c r="B993" t="inlineStr">
        <is>
          <t>non-amyloid</t>
        </is>
      </c>
      <c r="C993" t="n">
        <v>3.8</v>
      </c>
      <c r="D993" t="n">
        <v>10.41</v>
      </c>
      <c r="E993" t="n">
        <v>89.01000000000001</v>
      </c>
      <c r="F993" t="inlineStr">
        <is>
          <t>C1</t>
        </is>
      </c>
      <c r="G993" t="inlineStr">
        <is>
          <t>10.41260985</t>
        </is>
      </c>
      <c r="H993" t="n">
        <v>89.04341214</v>
      </c>
      <c r="I993" t="inlineStr">
        <is>
          <t>C1</t>
        </is>
      </c>
      <c r="J993" t="n">
        <v>0.0114404460490776</v>
      </c>
      <c r="K993" t="inlineStr"/>
      <c r="L993" t="n">
        <v>0.896631673</v>
      </c>
      <c r="M993" t="n">
        <v>0.897221346</v>
      </c>
      <c r="N993" t="inlineStr">
        <is>
          <t>Yes</t>
        </is>
      </c>
      <c r="O993" t="inlineStr">
        <is>
          <t>improve</t>
        </is>
      </c>
      <c r="P993" t="inlineStr">
        <is>
          <t>adjusted decimals</t>
        </is>
      </c>
      <c r="Q993" t="inlineStr"/>
      <c r="R993" t="inlineStr"/>
      <c r="S993">
        <f>HYPERLINK("https://helical-indexing-hi3d.streamlit.app/?emd_id=emd-21225&amp;rise=10.41260985&amp;twist=89.04341214&amp;csym=1&amp;rise2=10.41&amp;twist2=89.01&amp;csym2=1", "Link")</f>
        <v/>
      </c>
    </row>
    <row r="994">
      <c r="A994" t="inlineStr">
        <is>
          <t>EMD-21935</t>
        </is>
      </c>
      <c r="B994" t="inlineStr">
        <is>
          <t>microtubule</t>
        </is>
      </c>
      <c r="C994" t="n">
        <v>3.8</v>
      </c>
      <c r="D994" t="n">
        <v>5.48</v>
      </c>
      <c r="E994" t="n">
        <v>168.09</v>
      </c>
      <c r="F994" t="inlineStr">
        <is>
          <t>C1</t>
        </is>
      </c>
      <c r="G994" t="inlineStr"/>
      <c r="H994" t="inlineStr"/>
      <c r="I994" t="inlineStr">
        <is>
          <t>C1</t>
        </is>
      </c>
      <c r="J994" t="inlineStr"/>
      <c r="K994" t="inlineStr"/>
      <c r="L994" t="n">
        <v>0.29586</v>
      </c>
      <c r="M994" t="n">
        <v>0.702802612</v>
      </c>
      <c r="N994" t="inlineStr">
        <is>
          <t>Excluded</t>
        </is>
      </c>
      <c r="O994" t="inlineStr">
        <is>
          <t>improve</t>
        </is>
      </c>
      <c r="P994" t="inlineStr">
        <is>
          <t>partial map</t>
        </is>
      </c>
      <c r="Q994" t="inlineStr"/>
      <c r="R994" t="inlineStr"/>
      <c r="S994">
        <f>HYPERLINK("https://helical-indexing-hi3d.streamlit.app/?emd_id=emd-21935&amp;rise=nan&amp;twist=nan&amp;csym=1&amp;rise2=5.48&amp;twist2=168.09&amp;csym2=1", "Link")</f>
        <v/>
      </c>
    </row>
    <row r="995">
      <c r="A995" t="inlineStr">
        <is>
          <t>EMD-23484</t>
        </is>
      </c>
      <c r="B995" t="inlineStr">
        <is>
          <t>non-amyloid</t>
        </is>
      </c>
      <c r="C995" t="n">
        <v>3.8</v>
      </c>
      <c r="D995" t="n">
        <v>7.93</v>
      </c>
      <c r="E995" t="n">
        <v>-15.8</v>
      </c>
      <c r="F995" t="inlineStr">
        <is>
          <t>C1</t>
        </is>
      </c>
      <c r="G995" t="inlineStr">
        <is>
          <t>7.93</t>
        </is>
      </c>
      <c r="H995" t="n">
        <v>-15.8</v>
      </c>
      <c r="I995" t="inlineStr">
        <is>
          <t>C1</t>
        </is>
      </c>
      <c r="J995" t="n">
        <v>0</v>
      </c>
      <c r="K995" t="inlineStr"/>
      <c r="L995" t="n">
        <v>0.98844</v>
      </c>
      <c r="M995" t="n">
        <v>0.98844</v>
      </c>
      <c r="N995" t="inlineStr">
        <is>
          <t>Yes</t>
        </is>
      </c>
      <c r="O995" t="inlineStr">
        <is>
          <t>equal</t>
        </is>
      </c>
      <c r="P995" t="inlineStr">
        <is>
          <t>deposited</t>
        </is>
      </c>
      <c r="Q995" t="inlineStr"/>
      <c r="R995" t="inlineStr"/>
      <c r="S995">
        <f>HYPERLINK("https://helical-indexing-hi3d.streamlit.app/?emd_id=emd-23484&amp;rise=7.93&amp;twist=-15.8&amp;csym=1&amp;rise2=7.93&amp;twist2=-15.8&amp;csym2=1", "Link")</f>
        <v/>
      </c>
    </row>
    <row r="996">
      <c r="A996" t="inlineStr">
        <is>
          <t>EMD-24594</t>
        </is>
      </c>
      <c r="B996" t="inlineStr">
        <is>
          <t>non-amyloid</t>
        </is>
      </c>
      <c r="C996" t="n">
        <v>3.8</v>
      </c>
      <c r="D996" t="n">
        <v>0.602</v>
      </c>
      <c r="E996" t="n">
        <v>-155.347</v>
      </c>
      <c r="F996" t="inlineStr">
        <is>
          <t>C1</t>
        </is>
      </c>
      <c r="G996" t="inlineStr">
        <is>
          <t>0.602</t>
        </is>
      </c>
      <c r="H996" t="n">
        <v>-155.347</v>
      </c>
      <c r="I996" t="inlineStr">
        <is>
          <t>C1</t>
        </is>
      </c>
      <c r="J996" t="n">
        <v>0</v>
      </c>
      <c r="K996" t="inlineStr"/>
      <c r="L996" t="n">
        <v>0.89557226</v>
      </c>
      <c r="M996" t="n">
        <v>0.89557226</v>
      </c>
      <c r="N996" t="inlineStr">
        <is>
          <t>Yes</t>
        </is>
      </c>
      <c r="O996" t="inlineStr">
        <is>
          <t>equal</t>
        </is>
      </c>
      <c r="P996" t="inlineStr">
        <is>
          <t>deposited</t>
        </is>
      </c>
      <c r="Q996" t="inlineStr"/>
      <c r="R996" t="inlineStr"/>
      <c r="S996">
        <f>HYPERLINK("https://helical-indexing-hi3d.streamlit.app/?emd_id=emd-24594&amp;rise=0.602&amp;twist=-155.347&amp;csym=1&amp;rise2=0.602&amp;twist2=-155.347&amp;csym2=1", "Link")</f>
        <v/>
      </c>
    </row>
    <row r="997">
      <c r="A997" t="inlineStr">
        <is>
          <t>EMD-8847</t>
        </is>
      </c>
      <c r="B997" t="inlineStr">
        <is>
          <t>non-amyloid</t>
        </is>
      </c>
      <c r="C997" t="n">
        <v>3.8</v>
      </c>
      <c r="D997" t="n">
        <v>4.64</v>
      </c>
      <c r="E997" t="n">
        <v>65.83</v>
      </c>
      <c r="F997" t="inlineStr">
        <is>
          <t>C1</t>
        </is>
      </c>
      <c r="G997" t="inlineStr">
        <is>
          <t>4.64</t>
        </is>
      </c>
      <c r="H997" t="n">
        <v>65.83</v>
      </c>
      <c r="I997" t="inlineStr">
        <is>
          <t>C1</t>
        </is>
      </c>
      <c r="J997" t="n">
        <v>0</v>
      </c>
      <c r="K997" t="inlineStr"/>
      <c r="L997" t="n">
        <v>0.926777589</v>
      </c>
      <c r="M997" t="n">
        <v>0.926777589</v>
      </c>
      <c r="N997" t="inlineStr">
        <is>
          <t>Yes</t>
        </is>
      </c>
      <c r="O997" t="inlineStr">
        <is>
          <t>equal</t>
        </is>
      </c>
      <c r="P997" t="inlineStr">
        <is>
          <t>deposited</t>
        </is>
      </c>
      <c r="Q997" t="inlineStr"/>
      <c r="R997" t="inlineStr"/>
      <c r="S997">
        <f>HYPERLINK("https://helical-indexing-hi3d.streamlit.app/?emd_id=emd-8847&amp;rise=4.64&amp;twist=65.83&amp;csym=1&amp;rise2=4.64&amp;twist2=65.83&amp;csym2=1", "Link")</f>
        <v/>
      </c>
    </row>
    <row r="998">
      <c r="A998" t="inlineStr">
        <is>
          <t>EMD-30133</t>
        </is>
      </c>
      <c r="B998" t="inlineStr">
        <is>
          <t>non-amyloid</t>
        </is>
      </c>
      <c r="C998" t="n">
        <v>3.81</v>
      </c>
      <c r="D998" t="n">
        <v>3.82</v>
      </c>
      <c r="E998" t="n">
        <v>-27.04</v>
      </c>
      <c r="F998" t="inlineStr">
        <is>
          <t>C1</t>
        </is>
      </c>
      <c r="G998" t="inlineStr">
        <is>
          <t>3.835930839</t>
        </is>
      </c>
      <c r="H998" t="n">
        <v>-27.07900893</v>
      </c>
      <c r="I998" t="inlineStr">
        <is>
          <t>C1</t>
        </is>
      </c>
      <c r="J998" t="n">
        <v>0.035068297</v>
      </c>
      <c r="K998" t="inlineStr"/>
      <c r="L998" t="n">
        <v>0.714266735</v>
      </c>
      <c r="M998" t="n">
        <v>0.801834635</v>
      </c>
      <c r="N998" t="inlineStr">
        <is>
          <t>Yes</t>
        </is>
      </c>
      <c r="O998" t="inlineStr">
        <is>
          <t>improve</t>
        </is>
      </c>
      <c r="P998" t="inlineStr">
        <is>
          <t>adjusted decimals</t>
        </is>
      </c>
      <c r="Q998" t="inlineStr"/>
      <c r="R998" t="inlineStr"/>
      <c r="S998">
        <f>HYPERLINK("https://helical-indexing-hi3d.streamlit.app/?emd_id=emd-30133&amp;rise=3.835930839&amp;twist=-27.07900893&amp;csym=1&amp;rise2=3.82&amp;twist2=-27.04&amp;csym2=1", "Link")</f>
        <v/>
      </c>
    </row>
    <row r="999">
      <c r="A999" t="inlineStr">
        <is>
          <t>EMD-17070</t>
        </is>
      </c>
      <c r="B999" t="inlineStr">
        <is>
          <t>non-amyloid</t>
        </is>
      </c>
      <c r="C999" t="n">
        <v>3.83</v>
      </c>
      <c r="D999" t="n">
        <v>43.22</v>
      </c>
      <c r="E999" t="n">
        <v>13.16</v>
      </c>
      <c r="F999" t="inlineStr">
        <is>
          <t>C1</t>
        </is>
      </c>
      <c r="G999" t="inlineStr">
        <is>
          <t>43.22</t>
        </is>
      </c>
      <c r="H999" t="n">
        <v>13.16</v>
      </c>
      <c r="I999" t="inlineStr">
        <is>
          <t>C1</t>
        </is>
      </c>
      <c r="J999" t="n">
        <v>0</v>
      </c>
      <c r="K999" t="inlineStr"/>
      <c r="L999" t="n">
        <v>0.86265</v>
      </c>
      <c r="M999" t="n">
        <v>0.86265</v>
      </c>
      <c r="N999" t="inlineStr">
        <is>
          <t>Yes</t>
        </is>
      </c>
      <c r="O999" t="inlineStr">
        <is>
          <t>equal</t>
        </is>
      </c>
      <c r="P999" t="inlineStr">
        <is>
          <t>deposited</t>
        </is>
      </c>
      <c r="Q999" t="inlineStr"/>
      <c r="R999" t="inlineStr"/>
      <c r="S999">
        <f>HYPERLINK("https://helical-indexing-hi3d.streamlit.app/?emd_id=emd-17070&amp;rise=43.22&amp;twist=13.16&amp;csym=1&amp;rise2=43.22&amp;twist2=13.16&amp;csym2=1", "Link")</f>
        <v/>
      </c>
    </row>
    <row r="1000">
      <c r="A1000" t="inlineStr">
        <is>
          <t>EMD-17409</t>
        </is>
      </c>
      <c r="B1000" t="inlineStr">
        <is>
          <t>non-amyloid</t>
        </is>
      </c>
      <c r="C1000" t="n">
        <v>3.83</v>
      </c>
      <c r="D1000" t="n">
        <v>16.9</v>
      </c>
      <c r="E1000" t="n">
        <v>-77</v>
      </c>
      <c r="F1000" t="inlineStr">
        <is>
          <t>C2</t>
        </is>
      </c>
      <c r="G1000" t="inlineStr">
        <is>
          <t>16.90315026</t>
        </is>
      </c>
      <c r="H1000" t="n">
        <v>-77.19149928</v>
      </c>
      <c r="I1000" t="inlineStr">
        <is>
          <t>C2</t>
        </is>
      </c>
      <c r="J1000" t="n">
        <v>0.08033720699999999</v>
      </c>
      <c r="K1000" t="inlineStr"/>
      <c r="L1000" t="n">
        <v>0.73471</v>
      </c>
      <c r="M1000" t="n">
        <v>0.934100721</v>
      </c>
      <c r="N1000" t="inlineStr">
        <is>
          <t>Yes</t>
        </is>
      </c>
      <c r="O1000" t="inlineStr">
        <is>
          <t>improve</t>
        </is>
      </c>
      <c r="P1000" t="inlineStr">
        <is>
          <t>adjusted decimals</t>
        </is>
      </c>
      <c r="Q1000" t="inlineStr"/>
      <c r="R1000" t="inlineStr"/>
      <c r="S1000">
        <f>HYPERLINK("https://helical-indexing-hi3d.streamlit.app/?emd_id=emd-17409&amp;rise=16.90315026&amp;twist=-77.19149928&amp;csym=2&amp;rise2=16.9&amp;twist2=-77.0&amp;csym2=2", "Link")</f>
        <v/>
      </c>
    </row>
    <row r="1001">
      <c r="A1001" t="inlineStr">
        <is>
          <t>EMD-40192</t>
        </is>
      </c>
      <c r="B1001" t="inlineStr">
        <is>
          <t>non-amyloid</t>
        </is>
      </c>
      <c r="C1001" t="n">
        <v>3.86</v>
      </c>
      <c r="D1001" t="n">
        <v>12.933</v>
      </c>
      <c r="E1001" t="n">
        <v>37.439</v>
      </c>
      <c r="F1001" t="inlineStr">
        <is>
          <t>C1</t>
        </is>
      </c>
      <c r="G1001" t="inlineStr">
        <is>
          <t>6.44</t>
        </is>
      </c>
      <c r="H1001" t="n">
        <v>-161.28</v>
      </c>
      <c r="I1001" t="inlineStr">
        <is>
          <t>C1</t>
        </is>
      </c>
      <c r="J1001" t="n">
        <v>117.5298015555548</v>
      </c>
      <c r="K1001" t="inlineStr"/>
      <c r="L1001" t="n">
        <v>0.864855639</v>
      </c>
      <c r="M1001" t="n">
        <v>0.8986</v>
      </c>
      <c r="N1001" t="inlineStr">
        <is>
          <t>Yes</t>
        </is>
      </c>
      <c r="O1001" t="inlineStr">
        <is>
          <t>improve</t>
        </is>
      </c>
      <c r="P1001" t="inlineStr">
        <is>
          <t>different</t>
        </is>
      </c>
      <c r="Q1001" t="inlineStr">
        <is>
          <t>partial symmetry</t>
        </is>
      </c>
      <c r="R1001" t="inlineStr"/>
      <c r="S1001">
        <f>HYPERLINK("https://helical-indexing-hi3d.streamlit.app/?emd_id=emd-40192&amp;rise=6.44&amp;twist=-161.28&amp;csym=1&amp;rise2=12.933&amp;twist2=37.439&amp;csym2=1", "Link")</f>
        <v/>
      </c>
    </row>
    <row r="1002">
      <c r="A1002" t="inlineStr">
        <is>
          <t>EMD-0024</t>
        </is>
      </c>
      <c r="B1002" t="inlineStr">
        <is>
          <t>non-amyloid</t>
        </is>
      </c>
      <c r="C1002" t="n">
        <v>3.87</v>
      </c>
      <c r="D1002" t="n">
        <v>43.0617</v>
      </c>
      <c r="E1002" t="n">
        <v>72.8171</v>
      </c>
      <c r="F1002" t="inlineStr">
        <is>
          <t>C1</t>
        </is>
      </c>
      <c r="G1002" t="inlineStr">
        <is>
          <t>43.0617</t>
        </is>
      </c>
      <c r="H1002" t="n">
        <v>72.8171</v>
      </c>
      <c r="I1002" t="inlineStr">
        <is>
          <t>C1</t>
        </is>
      </c>
      <c r="J1002" t="n">
        <v>0</v>
      </c>
      <c r="K1002" t="inlineStr"/>
      <c r="L1002" t="n">
        <v>0.9124</v>
      </c>
      <c r="M1002" t="n">
        <v>0.9124</v>
      </c>
      <c r="N1002" t="inlineStr">
        <is>
          <t>Yes</t>
        </is>
      </c>
      <c r="O1002" t="inlineStr">
        <is>
          <t>equal</t>
        </is>
      </c>
      <c r="P1002" t="inlineStr">
        <is>
          <t>deposited</t>
        </is>
      </c>
      <c r="Q1002" t="inlineStr"/>
      <c r="R1002" t="inlineStr"/>
      <c r="S1002">
        <f>HYPERLINK("https://helical-indexing-hi3d.streamlit.app/?emd_id=emd-0024&amp;rise=43.0617&amp;twist=72.8171&amp;csym=1&amp;rise2=43.0617&amp;twist2=72.8171&amp;csym2=1", "Link")</f>
        <v/>
      </c>
    </row>
    <row r="1003">
      <c r="A1003" t="inlineStr">
        <is>
          <t>EMD-24721</t>
        </is>
      </c>
      <c r="B1003" t="inlineStr">
        <is>
          <t>microtubule</t>
        </is>
      </c>
      <c r="C1003" t="n">
        <v>3.89</v>
      </c>
      <c r="D1003" t="n">
        <v>8.956</v>
      </c>
      <c r="E1003" t="n">
        <v>-25.747</v>
      </c>
      <c r="F1003" t="inlineStr">
        <is>
          <t>C1</t>
        </is>
      </c>
      <c r="G1003" t="inlineStr"/>
      <c r="H1003" t="inlineStr"/>
      <c r="I1003" t="inlineStr">
        <is>
          <t>C1</t>
        </is>
      </c>
      <c r="J1003" t="inlineStr"/>
      <c r="K1003" t="inlineStr"/>
      <c r="L1003" t="inlineStr"/>
      <c r="M1003" t="inlineStr"/>
      <c r="N1003" t="inlineStr">
        <is>
          <t>No</t>
        </is>
      </c>
      <c r="O1003" t="inlineStr"/>
      <c r="P1003" t="inlineStr">
        <is>
          <t>single unit</t>
        </is>
      </c>
      <c r="Q1003" t="inlineStr"/>
      <c r="R1003" t="inlineStr"/>
      <c r="S1003">
        <f>HYPERLINK("https://helical-indexing-hi3d.streamlit.app/?emd_id=emd-24721&amp;rise=nan&amp;twist=nan&amp;csym=1&amp;rise2=8.956&amp;twist2=-25.747&amp;csym2=1", "Link")</f>
        <v/>
      </c>
    </row>
    <row r="1004">
      <c r="A1004" t="inlineStr">
        <is>
          <t>EMD-41286</t>
        </is>
      </c>
      <c r="B1004" t="inlineStr">
        <is>
          <t>non-amyloid</t>
        </is>
      </c>
      <c r="C1004" t="n">
        <v>3.89</v>
      </c>
      <c r="D1004" t="n">
        <v>4.95</v>
      </c>
      <c r="E1004" t="n">
        <v>104.8</v>
      </c>
      <c r="F1004" t="inlineStr">
        <is>
          <t>C1</t>
        </is>
      </c>
      <c r="G1004" t="inlineStr">
        <is>
          <t>4.949163679</t>
        </is>
      </c>
      <c r="H1004" t="n">
        <v>104.8099855</v>
      </c>
      <c r="I1004" t="inlineStr">
        <is>
          <t>C1</t>
        </is>
      </c>
      <c r="J1004" t="n">
        <v>0.003922171</v>
      </c>
      <c r="K1004" t="inlineStr"/>
      <c r="L1004" t="n">
        <v>0.91674</v>
      </c>
      <c r="M1004" t="n">
        <v>0.917033608</v>
      </c>
      <c r="N1004" t="inlineStr">
        <is>
          <t>Yes</t>
        </is>
      </c>
      <c r="O1004" t="inlineStr">
        <is>
          <t>improve</t>
        </is>
      </c>
      <c r="P1004" t="inlineStr">
        <is>
          <t>adjusted decimals</t>
        </is>
      </c>
      <c r="Q1004" t="inlineStr"/>
      <c r="R1004" t="inlineStr"/>
      <c r="S1004">
        <f>HYPERLINK("https://helical-indexing-hi3d.streamlit.app/?emd_id=emd-41286&amp;rise=4.949163679&amp;twist=104.8099855&amp;csym=1&amp;rise2=4.95&amp;twist2=104.8&amp;csym2=1", "Link")</f>
        <v/>
      </c>
    </row>
    <row r="1005">
      <c r="A1005" t="inlineStr">
        <is>
          <t>EMD-10478</t>
        </is>
      </c>
      <c r="B1005" t="inlineStr">
        <is>
          <t>non-amyloid</t>
        </is>
      </c>
      <c r="C1005" t="n">
        <v>3.89</v>
      </c>
      <c r="D1005" t="n">
        <v>38.3</v>
      </c>
      <c r="E1005" t="n">
        <v>24.4</v>
      </c>
      <c r="F1005" t="inlineStr">
        <is>
          <t>C6</t>
        </is>
      </c>
      <c r="G1005" t="inlineStr">
        <is>
          <t>38.18948175</t>
        </is>
      </c>
      <c r="H1005" t="n">
        <v>24.27152886</v>
      </c>
      <c r="I1005" t="inlineStr">
        <is>
          <t>C6</t>
        </is>
      </c>
      <c r="J1005" t="n">
        <v>0.1122388022889399</v>
      </c>
      <c r="K1005" t="inlineStr"/>
      <c r="L1005" t="n">
        <v>0.91729</v>
      </c>
      <c r="M1005" t="n">
        <v>0.917470359</v>
      </c>
      <c r="N1005" t="inlineStr">
        <is>
          <t>Yes</t>
        </is>
      </c>
      <c r="O1005" t="inlineStr">
        <is>
          <t>improve</t>
        </is>
      </c>
      <c r="P1005" t="inlineStr">
        <is>
          <t>adjusted decimals</t>
        </is>
      </c>
      <c r="Q1005" t="inlineStr"/>
      <c r="R1005" t="inlineStr"/>
      <c r="S1005">
        <f>HYPERLINK("https://helical-indexing-hi3d.streamlit.app/?emd_id=emd-10478&amp;rise=38.18948175&amp;twist=24.27152886&amp;csym=6&amp;rise2=38.3&amp;twist2=24.4&amp;csym2=6", "Link")</f>
        <v/>
      </c>
    </row>
    <row r="1006">
      <c r="A1006" t="inlineStr">
        <is>
          <t>EMD-27912</t>
        </is>
      </c>
      <c r="B1006" t="inlineStr">
        <is>
          <t>non-amyloid</t>
        </is>
      </c>
      <c r="C1006" t="n">
        <v>3.9</v>
      </c>
      <c r="D1006" t="n">
        <v>32.74</v>
      </c>
      <c r="E1006" t="n">
        <v>33.52</v>
      </c>
      <c r="F1006" t="inlineStr">
        <is>
          <t>C1</t>
        </is>
      </c>
      <c r="G1006" t="inlineStr">
        <is>
          <t>32.74</t>
        </is>
      </c>
      <c r="H1006" t="n">
        <v>33.52</v>
      </c>
      <c r="I1006" t="inlineStr">
        <is>
          <t>C1</t>
        </is>
      </c>
      <c r="J1006" t="n">
        <v>0</v>
      </c>
      <c r="K1006" t="inlineStr"/>
      <c r="L1006" t="n">
        <v>0.997343472</v>
      </c>
      <c r="M1006" t="n">
        <v>0.997343472</v>
      </c>
      <c r="N1006" t="inlineStr">
        <is>
          <t>Yes</t>
        </is>
      </c>
      <c r="O1006" t="inlineStr">
        <is>
          <t>equal</t>
        </is>
      </c>
      <c r="P1006" t="inlineStr">
        <is>
          <t>deposited</t>
        </is>
      </c>
      <c r="Q1006" t="inlineStr"/>
      <c r="R1006" t="inlineStr"/>
      <c r="S1006">
        <f>HYPERLINK("https://helical-indexing-hi3d.streamlit.app/?emd_id=emd-27912&amp;rise=32.74&amp;twist=33.52&amp;csym=1&amp;rise2=32.74&amp;twist2=33.52&amp;csym2=1", "Link")</f>
        <v/>
      </c>
    </row>
    <row r="1007">
      <c r="A1007" t="inlineStr">
        <is>
          <t>EMD-16101</t>
        </is>
      </c>
      <c r="B1007" t="inlineStr">
        <is>
          <t>non-amyloid</t>
        </is>
      </c>
      <c r="C1007" t="n">
        <v>3.9</v>
      </c>
      <c r="D1007" t="n">
        <v>38.5</v>
      </c>
      <c r="E1007" t="n">
        <v>23.1</v>
      </c>
      <c r="F1007" t="inlineStr">
        <is>
          <t>C6</t>
        </is>
      </c>
      <c r="G1007" t="inlineStr">
        <is>
          <t>39.63152699</t>
        </is>
      </c>
      <c r="H1007" t="n">
        <v>21.96043651</v>
      </c>
      <c r="I1007" t="inlineStr">
        <is>
          <t>C6</t>
        </is>
      </c>
      <c r="J1007" t="n">
        <v>1.289097060368725</v>
      </c>
      <c r="K1007" t="inlineStr"/>
      <c r="L1007" t="n">
        <v>0.5269</v>
      </c>
      <c r="M1007" t="n">
        <v>0.779436903</v>
      </c>
      <c r="N1007" t="inlineStr">
        <is>
          <t>Yes</t>
        </is>
      </c>
      <c r="O1007" t="inlineStr">
        <is>
          <t>improve</t>
        </is>
      </c>
      <c r="P1007" t="inlineStr">
        <is>
          <t>adjusted decimals</t>
        </is>
      </c>
      <c r="Q1007" t="inlineStr"/>
      <c r="R1007" t="inlineStr"/>
      <c r="S1007">
        <f>HYPERLINK("https://helical-indexing-hi3d.streamlit.app/?emd_id=emd-16101&amp;rise=39.63152699&amp;twist=21.96043651&amp;csym=6&amp;rise2=38.5&amp;twist2=23.1&amp;csym2=6", "Link")</f>
        <v/>
      </c>
    </row>
    <row r="1008">
      <c r="A1008" t="inlineStr">
        <is>
          <t>EMD-15524</t>
        </is>
      </c>
      <c r="B1008" t="inlineStr">
        <is>
          <t>non-amyloid</t>
        </is>
      </c>
      <c r="C1008" t="n">
        <v>3.9</v>
      </c>
      <c r="D1008" t="n">
        <v>15.38</v>
      </c>
      <c r="E1008" t="n">
        <v>58.46</v>
      </c>
      <c r="F1008" t="inlineStr">
        <is>
          <t>C1</t>
        </is>
      </c>
      <c r="G1008" t="inlineStr">
        <is>
          <t>15.38</t>
        </is>
      </c>
      <c r="H1008" t="n">
        <v>58.46</v>
      </c>
      <c r="I1008" t="inlineStr">
        <is>
          <t>C1</t>
        </is>
      </c>
      <c r="J1008" t="n">
        <v>0</v>
      </c>
      <c r="K1008" t="inlineStr">
        <is>
          <t>z -&gt; x</t>
        </is>
      </c>
      <c r="L1008" t="n">
        <v>0.85307</v>
      </c>
      <c r="M1008" t="n">
        <v>0.85307</v>
      </c>
      <c r="N1008" t="inlineStr">
        <is>
          <t>Yes</t>
        </is>
      </c>
      <c r="O1008" t="inlineStr">
        <is>
          <t>equal</t>
        </is>
      </c>
      <c r="P1008" t="inlineStr">
        <is>
          <t>deposited</t>
        </is>
      </c>
      <c r="Q1008" t="inlineStr"/>
      <c r="R1008" t="inlineStr"/>
      <c r="S1008">
        <f>HYPERLINK("https://helical-indexing-hi3d.streamlit.app/?emd_id=emd-15524&amp;rise=15.38&amp;twist=58.46&amp;csym=1&amp;rise2=15.38&amp;twist2=58.46&amp;csym2=1", "Link")</f>
        <v/>
      </c>
    </row>
    <row r="1009">
      <c r="A1009" t="inlineStr">
        <is>
          <t>EMD-12092</t>
        </is>
      </c>
      <c r="B1009" t="inlineStr">
        <is>
          <t>non-amyloid</t>
        </is>
      </c>
      <c r="C1009" t="n">
        <v>3.9</v>
      </c>
      <c r="D1009" t="n">
        <v>44.256</v>
      </c>
      <c r="E1009" t="n">
        <v>88.0249</v>
      </c>
      <c r="F1009" t="inlineStr">
        <is>
          <t>C1</t>
        </is>
      </c>
      <c r="G1009" t="inlineStr">
        <is>
          <t>44.256</t>
        </is>
      </c>
      <c r="H1009" t="n">
        <v>88.0249</v>
      </c>
      <c r="I1009" t="inlineStr">
        <is>
          <t>C1</t>
        </is>
      </c>
      <c r="J1009" t="n">
        <v>0</v>
      </c>
      <c r="K1009" t="inlineStr"/>
      <c r="L1009" t="n">
        <v>0.91518</v>
      </c>
      <c r="M1009" t="n">
        <v>0.91518</v>
      </c>
      <c r="N1009" t="inlineStr">
        <is>
          <t>Yes</t>
        </is>
      </c>
      <c r="O1009" t="inlineStr">
        <is>
          <t>equal</t>
        </is>
      </c>
      <c r="P1009" t="inlineStr">
        <is>
          <t>deposited</t>
        </is>
      </c>
      <c r="Q1009" t="inlineStr"/>
      <c r="R1009" t="inlineStr"/>
      <c r="S1009">
        <f>HYPERLINK("https://helical-indexing-hi3d.streamlit.app/?emd_id=emd-12092&amp;rise=44.256&amp;twist=88.0249&amp;csym=1&amp;rise2=44.256&amp;twist2=88.0249&amp;csym2=1", "Link")</f>
        <v/>
      </c>
    </row>
    <row r="1010">
      <c r="A1010" t="inlineStr">
        <is>
          <t>EMD-30264</t>
        </is>
      </c>
      <c r="B1010" t="inlineStr">
        <is>
          <t>non-amyloid</t>
        </is>
      </c>
      <c r="C1010" t="n">
        <v>3.9</v>
      </c>
      <c r="D1010" t="n">
        <v>4.03</v>
      </c>
      <c r="E1010" t="n">
        <v>-27.1</v>
      </c>
      <c r="F1010" t="inlineStr">
        <is>
          <t>C1</t>
        </is>
      </c>
      <c r="G1010" t="inlineStr">
        <is>
          <t>4.061812074</t>
        </is>
      </c>
      <c r="H1010" t="n">
        <v>-27.20220159</v>
      </c>
      <c r="I1010" t="inlineStr">
        <is>
          <t>C1</t>
        </is>
      </c>
      <c r="J1010" t="n">
        <v>0.1481270739368508</v>
      </c>
      <c r="K1010" t="inlineStr"/>
      <c r="L1010" t="n">
        <v>0.497019833</v>
      </c>
      <c r="M1010" t="n">
        <v>0.83931906</v>
      </c>
      <c r="N1010" t="inlineStr">
        <is>
          <t>Yes</t>
        </is>
      </c>
      <c r="O1010" t="inlineStr">
        <is>
          <t>improve</t>
        </is>
      </c>
      <c r="P1010" t="inlineStr">
        <is>
          <t>adjusted decimals</t>
        </is>
      </c>
      <c r="Q1010" t="inlineStr"/>
      <c r="R1010" t="inlineStr"/>
      <c r="S1010">
        <f>HYPERLINK("https://helical-indexing-hi3d.streamlit.app/?emd_id=emd-30264&amp;rise=4.061812074&amp;twist=-27.20220159&amp;csym=1&amp;rise2=4.03&amp;twist2=-27.1&amp;csym2=1", "Link")</f>
        <v/>
      </c>
    </row>
    <row r="1011">
      <c r="A1011" t="inlineStr">
        <is>
          <t>EMD-14957</t>
        </is>
      </c>
      <c r="B1011" t="inlineStr">
        <is>
          <t>non-amyloid</t>
        </is>
      </c>
      <c r="C1011" t="n">
        <v>3.9</v>
      </c>
      <c r="D1011" t="n">
        <v>27.8</v>
      </c>
      <c r="E1011" t="n">
        <v>-166.5</v>
      </c>
      <c r="F1011" t="inlineStr">
        <is>
          <t>C1</t>
        </is>
      </c>
      <c r="G1011" t="inlineStr">
        <is>
          <t>28.02167775</t>
        </is>
      </c>
      <c r="H1011" t="n">
        <v>-166.4692583</v>
      </c>
      <c r="I1011" t="inlineStr">
        <is>
          <t>C1</t>
        </is>
      </c>
      <c r="J1011" t="n">
        <v>0.2219120761259657</v>
      </c>
      <c r="K1011" t="inlineStr"/>
      <c r="L1011" t="n">
        <v>0.725128518</v>
      </c>
      <c r="M1011" t="n">
        <v>0.7970263440000001</v>
      </c>
      <c r="N1011" t="inlineStr">
        <is>
          <t>Yes</t>
        </is>
      </c>
      <c r="O1011" t="inlineStr">
        <is>
          <t>improve</t>
        </is>
      </c>
      <c r="P1011" t="inlineStr">
        <is>
          <t>adjusted decimals</t>
        </is>
      </c>
      <c r="Q1011" t="inlineStr"/>
      <c r="R1011" t="inlineStr"/>
      <c r="S1011">
        <f>HYPERLINK("https://helical-indexing-hi3d.streamlit.app/?emd_id=emd-14957&amp;rise=28.02167775&amp;twist=-166.4692583&amp;csym=1&amp;rise2=27.8&amp;twist2=-166.5&amp;csym2=1", "Link")</f>
        <v/>
      </c>
    </row>
    <row r="1012">
      <c r="A1012" t="inlineStr">
        <is>
          <t>EMD-7008</t>
        </is>
      </c>
      <c r="B1012" t="inlineStr">
        <is>
          <t>non-amyloid</t>
        </is>
      </c>
      <c r="C1012" t="n">
        <v>3.9</v>
      </c>
      <c r="D1012" t="n">
        <v>28.029</v>
      </c>
      <c r="E1012" t="n">
        <v>-166.66</v>
      </c>
      <c r="F1012" t="inlineStr">
        <is>
          <t>C1</t>
        </is>
      </c>
      <c r="G1012" t="inlineStr">
        <is>
          <t>27.22266386</t>
        </is>
      </c>
      <c r="H1012" t="n">
        <v>-166.6295481</v>
      </c>
      <c r="I1012" t="inlineStr">
        <is>
          <t>C1</t>
        </is>
      </c>
      <c r="J1012" t="n">
        <v>0.8063806071941342</v>
      </c>
      <c r="K1012" t="inlineStr"/>
      <c r="L1012" t="n">
        <v>0.81696</v>
      </c>
      <c r="M1012" t="n">
        <v>0.995915056</v>
      </c>
      <c r="N1012" t="inlineStr">
        <is>
          <t>Yes</t>
        </is>
      </c>
      <c r="O1012" t="inlineStr">
        <is>
          <t>improve</t>
        </is>
      </c>
      <c r="P1012" t="inlineStr">
        <is>
          <t>adjusted decimals</t>
        </is>
      </c>
      <c r="Q1012" t="inlineStr"/>
      <c r="R1012" t="inlineStr"/>
      <c r="S1012">
        <f>HYPERLINK("https://helical-indexing-hi3d.streamlit.app/?emd_id=emd-7008&amp;rise=27.22266386&amp;twist=-166.6295481&amp;csym=1&amp;rise2=28.029&amp;twist2=-166.66&amp;csym2=1", "Link")</f>
        <v/>
      </c>
    </row>
    <row r="1013">
      <c r="A1013" t="inlineStr">
        <is>
          <t>EMD-26159</t>
        </is>
      </c>
      <c r="B1013" t="inlineStr">
        <is>
          <t>non-amyloid</t>
        </is>
      </c>
      <c r="C1013" t="n">
        <v>3.9</v>
      </c>
      <c r="D1013" t="n">
        <v>5.75</v>
      </c>
      <c r="E1013" t="n">
        <v>38.46</v>
      </c>
      <c r="F1013" t="inlineStr">
        <is>
          <t>C1</t>
        </is>
      </c>
      <c r="G1013" t="inlineStr">
        <is>
          <t>5.76086899</t>
        </is>
      </c>
      <c r="H1013" t="n">
        <v>38.47264359</v>
      </c>
      <c r="I1013" t="inlineStr">
        <is>
          <t>C1</t>
        </is>
      </c>
      <c r="J1013" t="n">
        <v>0.0130406724298727</v>
      </c>
      <c r="K1013" t="inlineStr"/>
      <c r="L1013" t="n">
        <v>0.90591</v>
      </c>
      <c r="M1013" t="n">
        <v>0.906542871</v>
      </c>
      <c r="N1013" t="inlineStr">
        <is>
          <t>Yes</t>
        </is>
      </c>
      <c r="O1013" t="inlineStr">
        <is>
          <t>improve</t>
        </is>
      </c>
      <c r="P1013" t="inlineStr">
        <is>
          <t>adjusted decimals</t>
        </is>
      </c>
      <c r="Q1013" t="inlineStr"/>
      <c r="R1013" t="inlineStr"/>
      <c r="S1013">
        <f>HYPERLINK("https://helical-indexing-hi3d.streamlit.app/?emd_id=emd-26159&amp;rise=5.76086899&amp;twist=38.47264359&amp;csym=1&amp;rise2=5.75&amp;twist2=38.46&amp;csym2=1", "Link")</f>
        <v/>
      </c>
    </row>
    <row r="1014">
      <c r="A1014" t="inlineStr">
        <is>
          <t>EMD-10499</t>
        </is>
      </c>
      <c r="B1014" t="inlineStr">
        <is>
          <t>non-amyloid</t>
        </is>
      </c>
      <c r="C1014" t="n">
        <v>3.9</v>
      </c>
      <c r="D1014" t="n">
        <v>6.721</v>
      </c>
      <c r="E1014" t="n">
        <v>-31.44</v>
      </c>
      <c r="F1014" t="inlineStr">
        <is>
          <t>C2</t>
        </is>
      </c>
      <c r="G1014" t="inlineStr">
        <is>
          <t>6.716009124</t>
        </is>
      </c>
      <c r="H1014" t="n">
        <v>-31.3879017</v>
      </c>
      <c r="I1014" t="inlineStr">
        <is>
          <t>C2</t>
        </is>
      </c>
      <c r="J1014" t="n">
        <v>0.0100073262485909</v>
      </c>
      <c r="K1014" t="inlineStr"/>
      <c r="L1014" t="n">
        <v>0.9729</v>
      </c>
      <c r="M1014" t="n">
        <v>0.991340134</v>
      </c>
      <c r="N1014" t="inlineStr">
        <is>
          <t>Yes</t>
        </is>
      </c>
      <c r="O1014" t="inlineStr">
        <is>
          <t>improve</t>
        </is>
      </c>
      <c r="P1014" t="inlineStr">
        <is>
          <t>adjusted decimals</t>
        </is>
      </c>
      <c r="Q1014" t="inlineStr"/>
      <c r="R1014" t="inlineStr"/>
      <c r="S1014">
        <f>HYPERLINK("https://helical-indexing-hi3d.streamlit.app/?emd_id=emd-10499&amp;rise=6.716009124&amp;twist=-31.3879017&amp;csym=2&amp;rise2=6.721&amp;twist2=-31.44&amp;csym2=2", "Link")</f>
        <v/>
      </c>
    </row>
    <row r="1015">
      <c r="A1015" t="inlineStr">
        <is>
          <t>EMD-7331</t>
        </is>
      </c>
      <c r="B1015" t="inlineStr">
        <is>
          <t>non-amyloid</t>
        </is>
      </c>
      <c r="C1015" t="n">
        <v>3.9</v>
      </c>
      <c r="D1015" t="n">
        <v>27.5</v>
      </c>
      <c r="E1015" t="n">
        <v>-167.4</v>
      </c>
      <c r="F1015" t="inlineStr">
        <is>
          <t>C1</t>
        </is>
      </c>
      <c r="G1015" t="inlineStr">
        <is>
          <t>27.5</t>
        </is>
      </c>
      <c r="H1015" t="n">
        <v>-167.4</v>
      </c>
      <c r="I1015" t="inlineStr">
        <is>
          <t>C1</t>
        </is>
      </c>
      <c r="J1015" t="n">
        <v>0</v>
      </c>
      <c r="K1015" t="inlineStr"/>
      <c r="L1015" t="n">
        <v>0.915351624</v>
      </c>
      <c r="M1015" t="n">
        <v>0.915351624</v>
      </c>
      <c r="N1015" t="inlineStr">
        <is>
          <t>Yes</t>
        </is>
      </c>
      <c r="O1015" t="inlineStr">
        <is>
          <t>equal</t>
        </is>
      </c>
      <c r="P1015" t="inlineStr">
        <is>
          <t>deposited</t>
        </is>
      </c>
      <c r="Q1015" t="inlineStr"/>
      <c r="R1015" t="inlineStr"/>
      <c r="S1015">
        <f>HYPERLINK("https://helical-indexing-hi3d.streamlit.app/?emd_id=emd-7331&amp;rise=27.5&amp;twist=-167.4&amp;csym=1&amp;rise2=27.5&amp;twist2=-167.4&amp;csym2=1", "Link")</f>
        <v/>
      </c>
    </row>
    <row r="1016">
      <c r="A1016" t="inlineStr">
        <is>
          <t>EMD-33007</t>
        </is>
      </c>
      <c r="B1016" t="inlineStr">
        <is>
          <t>non-amyloid</t>
        </is>
      </c>
      <c r="C1016" t="n">
        <v>3.9</v>
      </c>
      <c r="D1016" t="n">
        <v>23.3</v>
      </c>
      <c r="E1016" t="n">
        <v>167.6</v>
      </c>
      <c r="F1016" t="inlineStr">
        <is>
          <t>C1</t>
        </is>
      </c>
      <c r="G1016" t="inlineStr">
        <is>
          <t>22.32475502</t>
        </is>
      </c>
      <c r="H1016" t="n">
        <v>167.5715782</v>
      </c>
      <c r="I1016" t="inlineStr">
        <is>
          <t>C1</t>
        </is>
      </c>
      <c r="J1016" t="n">
        <v>0.9752798517039284</v>
      </c>
      <c r="K1016" t="inlineStr"/>
      <c r="L1016" t="n">
        <v>0.652005187</v>
      </c>
      <c r="M1016" t="n">
        <v>0.817889546</v>
      </c>
      <c r="N1016" t="inlineStr">
        <is>
          <t>Yes</t>
        </is>
      </c>
      <c r="O1016" t="inlineStr">
        <is>
          <t>improve</t>
        </is>
      </c>
      <c r="P1016" t="inlineStr">
        <is>
          <t>adjusted decimals</t>
        </is>
      </c>
      <c r="Q1016" t="inlineStr"/>
      <c r="R1016" t="inlineStr"/>
      <c r="S1016">
        <f>HYPERLINK("https://helical-indexing-hi3d.streamlit.app/?emd_id=emd-33007&amp;rise=22.32475502&amp;twist=167.5715782&amp;csym=1&amp;rise2=23.3&amp;twist2=167.6&amp;csym2=1", "Link")</f>
        <v/>
      </c>
    </row>
    <row r="1017">
      <c r="A1017" t="inlineStr">
        <is>
          <t>EMD-21932</t>
        </is>
      </c>
      <c r="B1017" t="inlineStr">
        <is>
          <t>microtubule</t>
        </is>
      </c>
      <c r="C1017" t="n">
        <v>3.9</v>
      </c>
      <c r="D1017" t="n">
        <v>5.5</v>
      </c>
      <c r="E1017" t="n">
        <v>168.09</v>
      </c>
      <c r="F1017" t="inlineStr">
        <is>
          <t>C1</t>
        </is>
      </c>
      <c r="G1017" t="inlineStr"/>
      <c r="H1017" t="inlineStr"/>
      <c r="I1017" t="inlineStr">
        <is>
          <t>C1</t>
        </is>
      </c>
      <c r="J1017" t="inlineStr"/>
      <c r="K1017" t="inlineStr"/>
      <c r="L1017" t="n">
        <v>0.30957552</v>
      </c>
      <c r="M1017" t="inlineStr"/>
      <c r="N1017" t="inlineStr">
        <is>
          <t>Excluded</t>
        </is>
      </c>
      <c r="O1017" t="inlineStr">
        <is>
          <t>worse</t>
        </is>
      </c>
      <c r="P1017" t="inlineStr">
        <is>
          <t>partial map</t>
        </is>
      </c>
      <c r="Q1017" t="inlineStr"/>
      <c r="R1017" t="inlineStr"/>
      <c r="S1017">
        <f>HYPERLINK("https://helical-indexing-hi3d.streamlit.app/?emd_id=emd-21932&amp;rise=nan&amp;twist=nan&amp;csym=1&amp;rise2=5.5&amp;twist2=168.09&amp;csym2=1", "Link")</f>
        <v/>
      </c>
    </row>
    <row r="1018">
      <c r="A1018" t="inlineStr">
        <is>
          <t>EMD-22460</t>
        </is>
      </c>
      <c r="B1018" t="inlineStr">
        <is>
          <t>non-amyloid</t>
        </is>
      </c>
      <c r="C1018" t="n">
        <v>3.9</v>
      </c>
      <c r="D1018" t="n">
        <v>2.7</v>
      </c>
      <c r="E1018" t="n">
        <v>77.59999999999999</v>
      </c>
      <c r="F1018" t="inlineStr">
        <is>
          <t>C1</t>
        </is>
      </c>
      <c r="G1018" t="inlineStr">
        <is>
          <t>2.7</t>
        </is>
      </c>
      <c r="H1018" t="n">
        <v>77.59999999999999</v>
      </c>
      <c r="I1018" t="inlineStr">
        <is>
          <t>C1</t>
        </is>
      </c>
      <c r="J1018" t="n">
        <v>0</v>
      </c>
      <c r="K1018" t="inlineStr"/>
      <c r="L1018" t="n">
        <v>0.76475</v>
      </c>
      <c r="M1018" t="n">
        <v>0.76475</v>
      </c>
      <c r="N1018" t="inlineStr">
        <is>
          <t>Yes</t>
        </is>
      </c>
      <c r="O1018" t="inlineStr">
        <is>
          <t>equal</t>
        </is>
      </c>
      <c r="P1018" t="inlineStr">
        <is>
          <t>deposited</t>
        </is>
      </c>
      <c r="Q1018" t="inlineStr"/>
      <c r="R1018" t="inlineStr"/>
      <c r="S1018">
        <f>HYPERLINK("https://helical-indexing-hi3d.streamlit.app/?emd_id=emd-22460&amp;rise=2.7&amp;twist=77.6&amp;csym=1&amp;rise2=2.7&amp;twist2=77.6&amp;csym2=1", "Link")</f>
        <v/>
      </c>
    </row>
    <row r="1019">
      <c r="A1019" t="inlineStr">
        <is>
          <t>EMD-35242</t>
        </is>
      </c>
      <c r="B1019" t="inlineStr">
        <is>
          <t>non-amyloid</t>
        </is>
      </c>
      <c r="C1019" t="n">
        <v>3.9</v>
      </c>
      <c r="D1019" t="n">
        <v>44.105</v>
      </c>
      <c r="E1019" t="n">
        <v>18.544</v>
      </c>
      <c r="F1019" t="inlineStr">
        <is>
          <t>C14</t>
        </is>
      </c>
      <c r="G1019" t="inlineStr">
        <is>
          <t>44.105</t>
        </is>
      </c>
      <c r="H1019" t="n">
        <v>18.544</v>
      </c>
      <c r="I1019" t="inlineStr">
        <is>
          <t>C14</t>
        </is>
      </c>
      <c r="J1019" t="n">
        <v>0</v>
      </c>
      <c r="K1019" t="inlineStr"/>
      <c r="L1019" t="n">
        <v>0.944371319</v>
      </c>
      <c r="M1019" t="n">
        <v>0.944371319</v>
      </c>
      <c r="N1019" t="inlineStr">
        <is>
          <t>Yes</t>
        </is>
      </c>
      <c r="O1019" t="inlineStr">
        <is>
          <t>equal</t>
        </is>
      </c>
      <c r="P1019" t="inlineStr">
        <is>
          <t>deposited</t>
        </is>
      </c>
      <c r="Q1019" t="inlineStr"/>
      <c r="R1019" t="inlineStr"/>
      <c r="S1019">
        <f>HYPERLINK("https://helical-indexing-hi3d.streamlit.app/?emd_id=emd-35242&amp;rise=44.105&amp;twist=18.544&amp;csym=14&amp;rise2=44.105&amp;twist2=18.544&amp;csym2=14", "Link")</f>
        <v/>
      </c>
    </row>
    <row r="1020">
      <c r="A1020" t="inlineStr">
        <is>
          <t>EMD-10594</t>
        </is>
      </c>
      <c r="B1020" t="inlineStr">
        <is>
          <t>non-amyloid</t>
        </is>
      </c>
      <c r="C1020" t="n">
        <v>3.9</v>
      </c>
      <c r="D1020" t="n">
        <v>65.90000000000001</v>
      </c>
      <c r="E1020" t="n">
        <v>3.14</v>
      </c>
      <c r="F1020" t="inlineStr">
        <is>
          <t>C1</t>
        </is>
      </c>
      <c r="G1020" t="inlineStr">
        <is>
          <t>3.14324469</t>
        </is>
      </c>
      <c r="H1020" t="n">
        <v>65.91738315000001</v>
      </c>
      <c r="I1020" t="inlineStr">
        <is>
          <t>C1</t>
        </is>
      </c>
      <c r="J1020" t="n">
        <v>64.26024089997226</v>
      </c>
      <c r="K1020" t="inlineStr">
        <is>
          <t> </t>
        </is>
      </c>
      <c r="L1020" t="n">
        <v>0.916157487</v>
      </c>
      <c r="M1020" t="n">
        <v>0.99077293</v>
      </c>
      <c r="N1020" t="inlineStr">
        <is>
          <t>Yes</t>
        </is>
      </c>
      <c r="O1020" t="inlineStr">
        <is>
          <t>improve</t>
        </is>
      </c>
      <c r="P1020" t="inlineStr">
        <is>
          <t>interchanged values</t>
        </is>
      </c>
      <c r="Q1020" t="inlineStr"/>
      <c r="R1020" t="inlineStr"/>
      <c r="S1020">
        <f>HYPERLINK("https://helical-indexing-hi3d.streamlit.app/?emd_id=emd-10594&amp;rise=3.14324469&amp;twist=65.91738315&amp;csym=1&amp;rise2=65.9&amp;twist2=3.14&amp;csym2=1", "Link")</f>
        <v/>
      </c>
    </row>
    <row r="1021">
      <c r="A1021" t="inlineStr">
        <is>
          <t>EMD-25573</t>
        </is>
      </c>
      <c r="B1021" t="inlineStr">
        <is>
          <t>non-amyloid</t>
        </is>
      </c>
      <c r="C1021" t="n">
        <v>3.9</v>
      </c>
      <c r="D1021" t="n">
        <v>0.63</v>
      </c>
      <c r="E1021" t="n">
        <v>138.3</v>
      </c>
      <c r="F1021" t="inlineStr">
        <is>
          <t>C1</t>
        </is>
      </c>
      <c r="G1021" t="inlineStr">
        <is>
          <t>0.63</t>
        </is>
      </c>
      <c r="H1021" t="n">
        <v>138.3</v>
      </c>
      <c r="I1021" t="inlineStr">
        <is>
          <t>C1</t>
        </is>
      </c>
      <c r="J1021" t="n">
        <v>0</v>
      </c>
      <c r="K1021" t="inlineStr"/>
      <c r="L1021" t="n">
        <v>0.992721</v>
      </c>
      <c r="M1021" t="n">
        <v>0.992721</v>
      </c>
      <c r="N1021" t="inlineStr">
        <is>
          <t>Yes</t>
        </is>
      </c>
      <c r="O1021" t="inlineStr">
        <is>
          <t>equal</t>
        </is>
      </c>
      <c r="P1021" t="inlineStr">
        <is>
          <t>deposited</t>
        </is>
      </c>
      <c r="Q1021" t="inlineStr"/>
      <c r="R1021" t="inlineStr"/>
      <c r="S1021">
        <f>HYPERLINK("https://helical-indexing-hi3d.streamlit.app/?emd_id=emd-25573&amp;rise=0.63&amp;twist=138.3&amp;csym=1&amp;rise2=0.63&amp;twist2=138.3&amp;csym2=1", "Link")</f>
        <v/>
      </c>
    </row>
    <row r="1022">
      <c r="A1022" t="inlineStr">
        <is>
          <t>EMD-31368</t>
        </is>
      </c>
      <c r="B1022" t="inlineStr">
        <is>
          <t>non-amyloid</t>
        </is>
      </c>
      <c r="C1022" t="n">
        <v>3.9</v>
      </c>
      <c r="D1022" t="n">
        <v>4</v>
      </c>
      <c r="E1022" t="n">
        <v>-27.1</v>
      </c>
      <c r="F1022" t="inlineStr">
        <is>
          <t>C1</t>
        </is>
      </c>
      <c r="G1022" t="inlineStr">
        <is>
          <t>4.063061666</t>
        </is>
      </c>
      <c r="H1022" t="n">
        <v>-27.20268873</v>
      </c>
      <c r="I1022" t="inlineStr">
        <is>
          <t>C1</t>
        </is>
      </c>
      <c r="J1022" t="n">
        <v>0.2011733014782233</v>
      </c>
      <c r="K1022" t="inlineStr"/>
      <c r="L1022" t="n">
        <v>0.46364253</v>
      </c>
      <c r="M1022" t="n">
        <v>0.7876434410000001</v>
      </c>
      <c r="N1022" t="inlineStr">
        <is>
          <t>Yes</t>
        </is>
      </c>
      <c r="O1022" t="inlineStr">
        <is>
          <t>improve</t>
        </is>
      </c>
      <c r="P1022" t="inlineStr">
        <is>
          <t>adjusted decimals</t>
        </is>
      </c>
      <c r="Q1022" t="inlineStr"/>
      <c r="R1022" t="inlineStr"/>
      <c r="S1022">
        <f>HYPERLINK("https://helical-indexing-hi3d.streamlit.app/?emd_id=emd-31368&amp;rise=4.063061666&amp;twist=-27.20268873&amp;csym=1&amp;rise2=4.0&amp;twist2=-27.1&amp;csym2=1", "Link")</f>
        <v/>
      </c>
    </row>
    <row r="1023">
      <c r="A1023" t="inlineStr">
        <is>
          <t>EMD-7007</t>
        </is>
      </c>
      <c r="B1023" t="inlineStr">
        <is>
          <t>non-amyloid</t>
        </is>
      </c>
      <c r="C1023" t="n">
        <v>3.9</v>
      </c>
      <c r="D1023" t="n">
        <v>28.042</v>
      </c>
      <c r="E1023" t="n">
        <v>-166.64</v>
      </c>
      <c r="F1023" t="inlineStr">
        <is>
          <t>C1</t>
        </is>
      </c>
      <c r="G1023" t="inlineStr">
        <is>
          <t>27.19697638</t>
        </is>
      </c>
      <c r="H1023" t="n">
        <v>-166.6050586</v>
      </c>
      <c r="I1023" t="inlineStr">
        <is>
          <t>C1</t>
        </is>
      </c>
      <c r="J1023" t="n">
        <v>0.8450600922015051</v>
      </c>
      <c r="K1023" t="inlineStr"/>
      <c r="L1023" t="n">
        <v>0.81404</v>
      </c>
      <c r="M1023" t="n">
        <v>0.993772007</v>
      </c>
      <c r="N1023" t="inlineStr">
        <is>
          <t>Yes</t>
        </is>
      </c>
      <c r="O1023" t="inlineStr">
        <is>
          <t>improve</t>
        </is>
      </c>
      <c r="P1023" t="inlineStr">
        <is>
          <t>adjusted decimals</t>
        </is>
      </c>
      <c r="Q1023" t="inlineStr"/>
      <c r="R1023" t="inlineStr"/>
      <c r="S1023">
        <f>HYPERLINK("https://helical-indexing-hi3d.streamlit.app/?emd_id=emd-7007&amp;rise=27.19697638&amp;twist=-166.6050586&amp;csym=1&amp;rise2=28.042&amp;twist2=-166.64&amp;csym2=1", "Link")</f>
        <v/>
      </c>
    </row>
    <row r="1024">
      <c r="A1024" t="inlineStr">
        <is>
          <t>EMD-15491</t>
        </is>
      </c>
      <c r="B1024" t="inlineStr">
        <is>
          <t>non-amyloid</t>
        </is>
      </c>
      <c r="C1024" t="n">
        <v>3.9</v>
      </c>
      <c r="D1024" t="n">
        <v>2.52</v>
      </c>
      <c r="E1024" t="n">
        <v>130.2</v>
      </c>
      <c r="F1024" t="inlineStr">
        <is>
          <t>C1</t>
        </is>
      </c>
      <c r="G1024" t="inlineStr">
        <is>
          <t>2.52</t>
        </is>
      </c>
      <c r="H1024" t="n">
        <v>130.2</v>
      </c>
      <c r="I1024" t="inlineStr">
        <is>
          <t>C1</t>
        </is>
      </c>
      <c r="J1024" t="n">
        <v>0</v>
      </c>
      <c r="K1024" t="inlineStr"/>
      <c r="L1024" t="n">
        <v>0.892721685</v>
      </c>
      <c r="M1024" t="n">
        <v>0.892721685</v>
      </c>
      <c r="N1024" t="inlineStr">
        <is>
          <t>Yes</t>
        </is>
      </c>
      <c r="O1024" t="inlineStr">
        <is>
          <t>equal</t>
        </is>
      </c>
      <c r="P1024" t="inlineStr">
        <is>
          <t>deposited</t>
        </is>
      </c>
      <c r="Q1024" t="inlineStr"/>
      <c r="R1024" t="inlineStr"/>
      <c r="S1024">
        <f>HYPERLINK("https://helical-indexing-hi3d.streamlit.app/?emd_id=emd-15491&amp;rise=2.52&amp;twist=130.2&amp;csym=1&amp;rise2=2.52&amp;twist2=130.2&amp;csym2=1", "Link")</f>
        <v/>
      </c>
    </row>
    <row r="1025">
      <c r="A1025" t="inlineStr">
        <is>
          <t>EMD-24666</t>
        </is>
      </c>
      <c r="B1025" t="inlineStr">
        <is>
          <t>microtubule</t>
        </is>
      </c>
      <c r="C1025" t="n">
        <v>3.9</v>
      </c>
      <c r="D1025" t="n">
        <v>8.550000000000001</v>
      </c>
      <c r="E1025" t="n">
        <v>-25.76</v>
      </c>
      <c r="F1025" t="inlineStr">
        <is>
          <t>C14</t>
        </is>
      </c>
      <c r="G1025" t="inlineStr"/>
      <c r="H1025" t="inlineStr"/>
      <c r="I1025" t="inlineStr">
        <is>
          <t>C14</t>
        </is>
      </c>
      <c r="J1025" t="inlineStr"/>
      <c r="K1025" t="inlineStr"/>
      <c r="L1025" t="n">
        <v>0.07948</v>
      </c>
      <c r="M1025" t="n">
        <v>0.710274362</v>
      </c>
      <c r="N1025" t="inlineStr">
        <is>
          <t>Excluded</t>
        </is>
      </c>
      <c r="O1025" t="inlineStr">
        <is>
          <t>improve</t>
        </is>
      </c>
      <c r="P1025" t="inlineStr">
        <is>
          <t>partial map</t>
        </is>
      </c>
      <c r="Q1025" t="inlineStr"/>
      <c r="R1025" t="inlineStr"/>
      <c r="S1025">
        <f>HYPERLINK("https://helical-indexing-hi3d.streamlit.app/?emd_id=emd-24666&amp;rise=nan&amp;twist=nan&amp;csym=14&amp;rise2=8.55&amp;twist2=-25.76&amp;csym2=14", "Link")</f>
        <v/>
      </c>
    </row>
    <row r="1026">
      <c r="A1026" t="inlineStr">
        <is>
          <t>EMD-9734</t>
        </is>
      </c>
      <c r="B1026" t="inlineStr">
        <is>
          <t>non-amyloid</t>
        </is>
      </c>
      <c r="C1026" t="n">
        <v>3.9</v>
      </c>
      <c r="D1026" t="n">
        <v>27.5</v>
      </c>
      <c r="E1026" t="n">
        <v>-166.77</v>
      </c>
      <c r="F1026" t="inlineStr">
        <is>
          <t>C1</t>
        </is>
      </c>
      <c r="G1026" t="inlineStr">
        <is>
          <t>27.5</t>
        </is>
      </c>
      <c r="H1026" t="n">
        <v>-166.77</v>
      </c>
      <c r="I1026" t="inlineStr">
        <is>
          <t>C1</t>
        </is>
      </c>
      <c r="J1026" t="n">
        <v>0</v>
      </c>
      <c r="K1026" t="inlineStr"/>
      <c r="L1026" t="n">
        <v>0.99463</v>
      </c>
      <c r="M1026" t="n">
        <v>0.99463</v>
      </c>
      <c r="N1026" t="inlineStr">
        <is>
          <t>Yes</t>
        </is>
      </c>
      <c r="O1026" t="inlineStr">
        <is>
          <t>equal</t>
        </is>
      </c>
      <c r="P1026" t="inlineStr">
        <is>
          <t>deposited</t>
        </is>
      </c>
      <c r="Q1026" t="inlineStr"/>
      <c r="R1026" t="inlineStr"/>
      <c r="S1026">
        <f>HYPERLINK("https://helical-indexing-hi3d.streamlit.app/?emd_id=emd-9734&amp;rise=27.5&amp;twist=-166.77&amp;csym=1&amp;rise2=27.5&amp;twist2=-166.77&amp;csym2=1", "Link")</f>
        <v/>
      </c>
    </row>
    <row r="1027">
      <c r="A1027" t="inlineStr">
        <is>
          <t>EMD-24590</t>
        </is>
      </c>
      <c r="B1027" t="inlineStr">
        <is>
          <t>non-amyloid</t>
        </is>
      </c>
      <c r="C1027" t="n">
        <v>3.9</v>
      </c>
      <c r="D1027" t="n">
        <v>0.66</v>
      </c>
      <c r="E1027" t="n">
        <v>153.1</v>
      </c>
      <c r="F1027" t="inlineStr">
        <is>
          <t>C1</t>
        </is>
      </c>
      <c r="G1027" t="inlineStr">
        <is>
          <t>0.66</t>
        </is>
      </c>
      <c r="H1027" t="n">
        <v>153.1</v>
      </c>
      <c r="I1027" t="inlineStr">
        <is>
          <t>C1</t>
        </is>
      </c>
      <c r="J1027" t="n">
        <v>0</v>
      </c>
      <c r="K1027" t="inlineStr"/>
      <c r="L1027" t="n">
        <v>0.967214482</v>
      </c>
      <c r="M1027" t="n">
        <v>0.967214482</v>
      </c>
      <c r="N1027" t="inlineStr">
        <is>
          <t>Yes</t>
        </is>
      </c>
      <c r="O1027" t="inlineStr">
        <is>
          <t>equal</t>
        </is>
      </c>
      <c r="P1027" t="inlineStr">
        <is>
          <t>deposited</t>
        </is>
      </c>
      <c r="Q1027" t="inlineStr"/>
      <c r="R1027" t="inlineStr"/>
      <c r="S1027">
        <f>HYPERLINK("https://helical-indexing-hi3d.streamlit.app/?emd_id=emd-24590&amp;rise=0.66&amp;twist=153.1&amp;csym=1&amp;rise2=0.66&amp;twist2=153.1&amp;csym2=1", "Link")</f>
        <v/>
      </c>
    </row>
    <row r="1028">
      <c r="A1028" t="inlineStr">
        <is>
          <t>EMD-3236</t>
        </is>
      </c>
      <c r="B1028" t="inlineStr">
        <is>
          <t>non-amyloid</t>
        </is>
      </c>
      <c r="C1028" t="n">
        <v>3.9</v>
      </c>
      <c r="D1028" t="n">
        <v>3.95</v>
      </c>
      <c r="E1028" t="n">
        <v>41.1</v>
      </c>
      <c r="F1028" t="inlineStr">
        <is>
          <t>C1</t>
        </is>
      </c>
      <c r="G1028" t="inlineStr">
        <is>
          <t>3.946918036</t>
        </is>
      </c>
      <c r="H1028" t="n">
        <v>-41.09588996</v>
      </c>
      <c r="I1028" t="inlineStr">
        <is>
          <t>C1</t>
        </is>
      </c>
      <c r="J1028" t="n">
        <v>7.408996374269866</v>
      </c>
      <c r="K1028" t="inlineStr">
        <is>
          <t> </t>
        </is>
      </c>
      <c r="L1028" t="n">
        <v>0.01809</v>
      </c>
      <c r="M1028" t="n">
        <v>0.991741337</v>
      </c>
      <c r="N1028" t="inlineStr">
        <is>
          <t>Yes</t>
        </is>
      </c>
      <c r="O1028" t="inlineStr">
        <is>
          <t>improve</t>
        </is>
      </c>
      <c r="P1028" t="inlineStr">
        <is>
          <t>twist sign</t>
        </is>
      </c>
      <c r="Q1028" t="inlineStr"/>
      <c r="R1028" t="inlineStr"/>
      <c r="S1028">
        <f>HYPERLINK("https://helical-indexing-hi3d.streamlit.app/?emd_id=emd-3236&amp;rise=3.946918036&amp;twist=-41.09588996&amp;csym=1&amp;rise2=3.95&amp;twist2=41.1&amp;csym2=1", "Link")</f>
        <v/>
      </c>
    </row>
    <row r="1029">
      <c r="A1029" t="inlineStr">
        <is>
          <t>EMD-26987</t>
        </is>
      </c>
      <c r="B1029" t="inlineStr">
        <is>
          <t>non-amyloid</t>
        </is>
      </c>
      <c r="C1029" t="n">
        <v>3.9</v>
      </c>
      <c r="D1029" t="n">
        <v>27.4</v>
      </c>
      <c r="E1029" t="n">
        <v>-166.6</v>
      </c>
      <c r="F1029" t="inlineStr">
        <is>
          <t>C1</t>
        </is>
      </c>
      <c r="G1029" t="inlineStr">
        <is>
          <t>27.98119633</t>
        </is>
      </c>
      <c r="H1029" t="n">
        <v>-166.7152672</v>
      </c>
      <c r="I1029" t="inlineStr">
        <is>
          <t>C1</t>
        </is>
      </c>
      <c r="J1029" t="n">
        <v>0.5817415473564506</v>
      </c>
      <c r="K1029" t="inlineStr"/>
      <c r="L1029" t="n">
        <v>0.84506</v>
      </c>
      <c r="M1029" t="n">
        <v>0.9687473720000001</v>
      </c>
      <c r="N1029" t="inlineStr">
        <is>
          <t>Yes</t>
        </is>
      </c>
      <c r="O1029" t="inlineStr">
        <is>
          <t>improve</t>
        </is>
      </c>
      <c r="P1029" t="inlineStr">
        <is>
          <t>adjusted decimals</t>
        </is>
      </c>
      <c r="Q1029" t="inlineStr"/>
      <c r="R1029" t="inlineStr"/>
      <c r="S1029">
        <f>HYPERLINK("https://helical-indexing-hi3d.streamlit.app/?emd_id=emd-26987&amp;rise=27.98119633&amp;twist=-166.7152672&amp;csym=1&amp;rise2=27.4&amp;twist2=-166.6&amp;csym2=1", "Link")</f>
        <v/>
      </c>
    </row>
    <row r="1030">
      <c r="A1030" t="inlineStr">
        <is>
          <t>EMD-10552</t>
        </is>
      </c>
      <c r="B1030" t="inlineStr">
        <is>
          <t>non-amyloid</t>
        </is>
      </c>
      <c r="C1030" t="n">
        <v>3.9</v>
      </c>
      <c r="D1030" t="n">
        <v>56.5315</v>
      </c>
      <c r="E1030" t="n">
        <v>164.374</v>
      </c>
      <c r="F1030" t="inlineStr">
        <is>
          <t>C1</t>
        </is>
      </c>
      <c r="G1030" t="inlineStr">
        <is>
          <t>55.75348115</t>
        </is>
      </c>
      <c r="H1030" t="n">
        <v>165.4664735</v>
      </c>
      <c r="I1030" t="inlineStr">
        <is>
          <t>C1</t>
        </is>
      </c>
      <c r="J1030" t="n">
        <v>0.882734718</v>
      </c>
      <c r="K1030" t="inlineStr"/>
      <c r="L1030" t="n">
        <v>0.91925</v>
      </c>
      <c r="M1030" t="n">
        <v>0.9341452139999999</v>
      </c>
      <c r="N1030" t="inlineStr">
        <is>
          <t>Yes</t>
        </is>
      </c>
      <c r="O1030" t="inlineStr">
        <is>
          <t>improve</t>
        </is>
      </c>
      <c r="P1030" t="inlineStr">
        <is>
          <t>adjusted decimals</t>
        </is>
      </c>
      <c r="Q1030" t="inlineStr"/>
      <c r="R1030" t="inlineStr"/>
      <c r="S1030">
        <f>HYPERLINK("https://helical-indexing-hi3d.streamlit.app/?emd_id=emd-10552&amp;rise=55.75348115&amp;twist=165.4664735&amp;csym=1&amp;rise2=56.5315&amp;twist2=164.374&amp;csym2=1", "Link")</f>
        <v/>
      </c>
    </row>
    <row r="1031">
      <c r="A1031" t="inlineStr">
        <is>
          <t>EMD-26552</t>
        </is>
      </c>
      <c r="B1031" t="inlineStr">
        <is>
          <t>non-amyloid</t>
        </is>
      </c>
      <c r="C1031" t="n">
        <v>3.9</v>
      </c>
      <c r="D1031" t="n">
        <v>12.68</v>
      </c>
      <c r="E1031" t="n">
        <v>-58.76</v>
      </c>
      <c r="F1031" t="inlineStr">
        <is>
          <t>C1</t>
        </is>
      </c>
      <c r="G1031" t="inlineStr">
        <is>
          <t>12.68</t>
        </is>
      </c>
      <c r="H1031" t="n">
        <v>-58.76</v>
      </c>
      <c r="I1031" t="inlineStr">
        <is>
          <t>C1</t>
        </is>
      </c>
      <c r="J1031" t="n">
        <v>0</v>
      </c>
      <c r="K1031" t="inlineStr"/>
      <c r="L1031" t="n">
        <v>0.945577977</v>
      </c>
      <c r="M1031" t="n">
        <v>0.945577977</v>
      </c>
      <c r="N1031" t="inlineStr">
        <is>
          <t>Yes</t>
        </is>
      </c>
      <c r="O1031" t="inlineStr">
        <is>
          <t>equal</t>
        </is>
      </c>
      <c r="P1031" t="inlineStr">
        <is>
          <t>deposited</t>
        </is>
      </c>
      <c r="Q1031" t="inlineStr"/>
      <c r="R1031" t="inlineStr"/>
      <c r="S1031">
        <f>HYPERLINK("https://helical-indexing-hi3d.streamlit.app/?emd_id=emd-26552&amp;rise=12.68&amp;twist=-58.76&amp;csym=1&amp;rise2=12.68&amp;twist2=-58.76&amp;csym2=1", "Link")</f>
        <v/>
      </c>
    </row>
    <row r="1032">
      <c r="A1032" t="inlineStr">
        <is>
          <t>EMD-4420</t>
        </is>
      </c>
      <c r="B1032" t="inlineStr">
        <is>
          <t>non-amyloid</t>
        </is>
      </c>
      <c r="C1032" t="n">
        <v>3.9</v>
      </c>
      <c r="D1032" t="n">
        <v>17.68</v>
      </c>
      <c r="E1032" t="n">
        <v>-73.2</v>
      </c>
      <c r="F1032" t="inlineStr">
        <is>
          <t>C1</t>
        </is>
      </c>
      <c r="G1032" t="inlineStr">
        <is>
          <t>17.66619659</t>
        </is>
      </c>
      <c r="H1032" t="n">
        <v>-72.77446591</v>
      </c>
      <c r="I1032" t="inlineStr">
        <is>
          <t>C1</t>
        </is>
      </c>
      <c r="J1032" t="n">
        <v>0.2813491847912888</v>
      </c>
      <c r="K1032" t="inlineStr"/>
      <c r="L1032" t="n">
        <v>0.8454199999999999</v>
      </c>
      <c r="M1032" t="n">
        <v>0.95504682</v>
      </c>
      <c r="N1032" t="inlineStr">
        <is>
          <t>Yes</t>
        </is>
      </c>
      <c r="O1032" t="inlineStr">
        <is>
          <t>improve</t>
        </is>
      </c>
      <c r="P1032" t="inlineStr">
        <is>
          <t>adjusted decimals</t>
        </is>
      </c>
      <c r="Q1032" t="inlineStr"/>
      <c r="R1032" t="inlineStr"/>
      <c r="S1032">
        <f>HYPERLINK("https://helical-indexing-hi3d.streamlit.app/?emd_id=emd-4420&amp;rise=17.66619659&amp;twist=-72.77446591&amp;csym=1&amp;rise2=17.68&amp;twist2=-73.2&amp;csym2=1", "Link")</f>
        <v/>
      </c>
    </row>
    <row r="1033">
      <c r="A1033" t="inlineStr">
        <is>
          <t>EMD-4418</t>
        </is>
      </c>
      <c r="B1033" t="inlineStr">
        <is>
          <t>non-amyloid</t>
        </is>
      </c>
      <c r="C1033" t="n">
        <v>3.9</v>
      </c>
      <c r="D1033" t="n">
        <v>17.31</v>
      </c>
      <c r="E1033" t="n">
        <v>72.77</v>
      </c>
      <c r="F1033" t="inlineStr">
        <is>
          <t>C1</t>
        </is>
      </c>
      <c r="G1033" t="inlineStr">
        <is>
          <t>17.31023453</t>
        </is>
      </c>
      <c r="H1033" t="n">
        <v>-73.20268382</v>
      </c>
      <c r="I1033" t="inlineStr">
        <is>
          <t>C1</t>
        </is>
      </c>
      <c r="J1033" t="n">
        <v>75.34867969521584</v>
      </c>
      <c r="K1033" t="inlineStr">
        <is>
          <t> </t>
        </is>
      </c>
      <c r="L1033" t="n">
        <v>0.26005</v>
      </c>
      <c r="M1033" t="n">
        <v>0.956933835</v>
      </c>
      <c r="N1033" t="inlineStr">
        <is>
          <t>Yes</t>
        </is>
      </c>
      <c r="O1033" t="inlineStr">
        <is>
          <t>improve</t>
        </is>
      </c>
      <c r="P1033" t="inlineStr">
        <is>
          <t>twist sign</t>
        </is>
      </c>
      <c r="Q1033" t="inlineStr"/>
      <c r="R1033" t="inlineStr"/>
      <c r="S1033">
        <f>HYPERLINK("https://helical-indexing-hi3d.streamlit.app/?emd_id=emd-4418&amp;rise=17.31023453&amp;twist=-73.20268382&amp;csym=1&amp;rise2=17.31&amp;twist2=72.77&amp;csym2=1", "Link")</f>
        <v/>
      </c>
    </row>
    <row r="1034">
      <c r="A1034" t="inlineStr">
        <is>
          <t>EMD-33414</t>
        </is>
      </c>
      <c r="B1034" t="inlineStr">
        <is>
          <t>non-amyloid</t>
        </is>
      </c>
      <c r="C1034" t="n">
        <v>3.9</v>
      </c>
      <c r="D1034" t="n">
        <v>28.01</v>
      </c>
      <c r="E1034" t="n">
        <v>27.28</v>
      </c>
      <c r="F1034" t="inlineStr">
        <is>
          <t>C5</t>
        </is>
      </c>
      <c r="G1034" t="inlineStr">
        <is>
          <t>28.01</t>
        </is>
      </c>
      <c r="H1034" t="n">
        <v>27.28</v>
      </c>
      <c r="I1034" t="inlineStr">
        <is>
          <t>C5</t>
        </is>
      </c>
      <c r="J1034" t="n">
        <v>0</v>
      </c>
      <c r="K1034" t="inlineStr">
        <is>
          <t>z -&gt; x</t>
        </is>
      </c>
      <c r="L1034" t="n">
        <v>0.913683178</v>
      </c>
      <c r="M1034" t="n">
        <v>0.913683178</v>
      </c>
      <c r="N1034" t="inlineStr">
        <is>
          <t>Yes</t>
        </is>
      </c>
      <c r="O1034" t="inlineStr">
        <is>
          <t>equal</t>
        </is>
      </c>
      <c r="P1034" t="inlineStr">
        <is>
          <t>deposited</t>
        </is>
      </c>
      <c r="Q1034" t="inlineStr"/>
      <c r="R1034" t="inlineStr"/>
      <c r="S1034">
        <f>HYPERLINK("https://helical-indexing-hi3d.streamlit.app/?emd_id=emd-33414&amp;rise=28.01&amp;twist=27.28&amp;csym=5&amp;rise2=28.01&amp;twist2=27.28&amp;csym2=5", "Link")</f>
        <v/>
      </c>
    </row>
    <row r="1035">
      <c r="A1035" t="inlineStr">
        <is>
          <t>EMD-7771</t>
        </is>
      </c>
      <c r="B1035" t="inlineStr">
        <is>
          <t>microtubule</t>
        </is>
      </c>
      <c r="C1035" t="n">
        <v>3.9</v>
      </c>
      <c r="D1035" t="n">
        <v>8.699999999999999</v>
      </c>
      <c r="E1035" t="n">
        <v>-25.75</v>
      </c>
      <c r="F1035" t="inlineStr">
        <is>
          <t>C1</t>
        </is>
      </c>
      <c r="G1035" t="inlineStr">
        <is>
          <t>2.85</t>
        </is>
      </c>
      <c r="H1035" t="n">
        <v>-128.58</v>
      </c>
      <c r="I1035" t="inlineStr">
        <is>
          <t>C1</t>
        </is>
      </c>
      <c r="J1035" t="n">
        <v>26.36644963097477</v>
      </c>
      <c r="K1035" t="inlineStr"/>
      <c r="L1035" t="n">
        <v>0.601315763</v>
      </c>
      <c r="M1035" t="n">
        <v>0.864935309</v>
      </c>
      <c r="N1035" t="inlineStr">
        <is>
          <t>Yes</t>
        </is>
      </c>
      <c r="O1035" t="inlineStr">
        <is>
          <t>improve</t>
        </is>
      </c>
      <c r="P1035" t="inlineStr">
        <is>
          <t>different</t>
        </is>
      </c>
      <c r="Q1035" t="inlineStr">
        <is>
          <t>partial symmetry</t>
        </is>
      </c>
      <c r="R1035" t="inlineStr"/>
      <c r="S1035">
        <f>HYPERLINK("https://helical-indexing-hi3d.streamlit.app/?emd_id=emd-7771&amp;rise=2.85&amp;twist=-128.58&amp;csym=1&amp;rise2=8.7&amp;twist2=-25.75&amp;csym2=1", "Link")</f>
        <v/>
      </c>
    </row>
    <row r="1036">
      <c r="A1036" t="inlineStr">
        <is>
          <t>EMD-21155</t>
        </is>
      </c>
      <c r="B1036" t="inlineStr">
        <is>
          <t>non-amyloid</t>
        </is>
      </c>
      <c r="C1036" t="n">
        <v>3.9</v>
      </c>
      <c r="D1036" t="n">
        <v>28</v>
      </c>
      <c r="E1036" t="n">
        <v>-166.5</v>
      </c>
      <c r="F1036" t="inlineStr">
        <is>
          <t>C1</t>
        </is>
      </c>
      <c r="G1036" t="inlineStr">
        <is>
          <t>55.91437042</t>
        </is>
      </c>
      <c r="H1036" t="n">
        <v>27.25131607</v>
      </c>
      <c r="I1036" t="inlineStr">
        <is>
          <t>C1</t>
        </is>
      </c>
      <c r="J1036" t="n">
        <v>37.26851991115608</v>
      </c>
      <c r="K1036" t="inlineStr"/>
      <c r="L1036" t="n">
        <v>0.92225</v>
      </c>
      <c r="M1036" t="n">
        <v>0.933394914</v>
      </c>
      <c r="N1036" t="inlineStr">
        <is>
          <t>Yes</t>
        </is>
      </c>
      <c r="O1036" t="inlineStr">
        <is>
          <t>improve</t>
        </is>
      </c>
      <c r="P1036" t="inlineStr">
        <is>
          <t>different</t>
        </is>
      </c>
      <c r="Q1036" t="inlineStr">
        <is>
          <t>check</t>
        </is>
      </c>
      <c r="R1036" t="inlineStr">
        <is>
          <t>sign error</t>
        </is>
      </c>
      <c r="S1036">
        <f>HYPERLINK("https://helical-indexing-hi3d.streamlit.app/?emd_id=emd-21155&amp;rise=55.91437042&amp;twist=27.25131607&amp;csym=1&amp;rise2=28.0&amp;twist2=-166.5&amp;csym2=1", "Link")</f>
        <v/>
      </c>
    </row>
    <row r="1037">
      <c r="A1037" t="inlineStr">
        <is>
          <t>EMD-6271</t>
        </is>
      </c>
      <c r="B1037" t="inlineStr">
        <is>
          <t>non-amyloid</t>
        </is>
      </c>
      <c r="C1037" t="n">
        <v>3.9</v>
      </c>
      <c r="D1037" t="n">
        <v>16.2</v>
      </c>
      <c r="E1037" t="n">
        <v>33.1</v>
      </c>
      <c r="F1037" t="inlineStr">
        <is>
          <t>C6</t>
        </is>
      </c>
      <c r="G1037" t="inlineStr">
        <is>
          <t>16.2</t>
        </is>
      </c>
      <c r="H1037" t="n">
        <v>33.1</v>
      </c>
      <c r="I1037" t="inlineStr">
        <is>
          <t>C6</t>
        </is>
      </c>
      <c r="J1037" t="n">
        <v>0</v>
      </c>
      <c r="K1037" t="inlineStr"/>
      <c r="L1037" t="n">
        <v>0.96844</v>
      </c>
      <c r="M1037" t="n">
        <v>0.96844</v>
      </c>
      <c r="N1037" t="inlineStr">
        <is>
          <t>Yes</t>
        </is>
      </c>
      <c r="O1037" t="inlineStr">
        <is>
          <t>equal</t>
        </is>
      </c>
      <c r="P1037" t="inlineStr">
        <is>
          <t>deposited</t>
        </is>
      </c>
      <c r="Q1037" t="inlineStr"/>
      <c r="R1037" t="inlineStr"/>
      <c r="S1037">
        <f>HYPERLINK("https://helical-indexing-hi3d.streamlit.app/?emd_id=emd-6271&amp;rise=16.2&amp;twist=33.1&amp;csym=6&amp;rise2=16.2&amp;twist2=33.1&amp;csym2=6", "Link")</f>
        <v/>
      </c>
    </row>
    <row r="1038">
      <c r="A1038" t="inlineStr">
        <is>
          <t>EMD-29856</t>
        </is>
      </c>
      <c r="B1038" t="inlineStr">
        <is>
          <t>non-amyloid</t>
        </is>
      </c>
      <c r="C1038" t="n">
        <v>3.92</v>
      </c>
      <c r="D1038" t="n">
        <v>33.048</v>
      </c>
      <c r="E1038" t="n">
        <v>142.838</v>
      </c>
      <c r="F1038" t="inlineStr">
        <is>
          <t>C1</t>
        </is>
      </c>
      <c r="G1038" t="inlineStr">
        <is>
          <t>33.048</t>
        </is>
      </c>
      <c r="H1038" t="n">
        <v>142.838</v>
      </c>
      <c r="I1038" t="inlineStr">
        <is>
          <t>C1</t>
        </is>
      </c>
      <c r="J1038" t="n">
        <v>0</v>
      </c>
      <c r="K1038" t="inlineStr"/>
      <c r="L1038" t="n">
        <v>0.88467</v>
      </c>
      <c r="M1038" t="n">
        <v>0.88467</v>
      </c>
      <c r="N1038" t="inlineStr">
        <is>
          <t>Yes</t>
        </is>
      </c>
      <c r="O1038" t="inlineStr">
        <is>
          <t>equal</t>
        </is>
      </c>
      <c r="P1038" t="inlineStr">
        <is>
          <t>deposited</t>
        </is>
      </c>
      <c r="Q1038" t="inlineStr"/>
      <c r="R1038" t="inlineStr"/>
      <c r="S1038">
        <f>HYPERLINK("https://helical-indexing-hi3d.streamlit.app/?emd_id=emd-29856&amp;rise=33.048&amp;twist=142.838&amp;csym=1&amp;rise2=33.048&amp;twist2=142.838&amp;csym2=1", "Link")</f>
        <v/>
      </c>
    </row>
    <row r="1039">
      <c r="A1039" t="inlineStr">
        <is>
          <t>EMD-4340</t>
        </is>
      </c>
      <c r="B1039" t="inlineStr">
        <is>
          <t>non-amyloid</t>
        </is>
      </c>
      <c r="C1039" t="n">
        <v>3.93</v>
      </c>
      <c r="D1039" t="n">
        <v>44.5102</v>
      </c>
      <c r="E1039" t="n">
        <v>87.3689</v>
      </c>
      <c r="F1039" t="inlineStr">
        <is>
          <t>C1</t>
        </is>
      </c>
      <c r="G1039" t="inlineStr">
        <is>
          <t>44.5102</t>
        </is>
      </c>
      <c r="H1039" t="n">
        <v>87.3689</v>
      </c>
      <c r="I1039" t="inlineStr">
        <is>
          <t>C1</t>
        </is>
      </c>
      <c r="J1039" t="n">
        <v>0</v>
      </c>
      <c r="K1039" t="inlineStr"/>
      <c r="L1039" t="n">
        <v>0.91879</v>
      </c>
      <c r="M1039" t="n">
        <v>0.91879</v>
      </c>
      <c r="N1039" t="inlineStr">
        <is>
          <t>Yes</t>
        </is>
      </c>
      <c r="O1039" t="inlineStr">
        <is>
          <t>equal</t>
        </is>
      </c>
      <c r="P1039" t="inlineStr">
        <is>
          <t>deposited</t>
        </is>
      </c>
      <c r="Q1039" t="inlineStr"/>
      <c r="R1039" t="inlineStr"/>
      <c r="S1039">
        <f>HYPERLINK("https://helical-indexing-hi3d.streamlit.app/?emd_id=emd-4340&amp;rise=44.5102&amp;twist=87.3689&amp;csym=1&amp;rise2=44.5102&amp;twist2=87.3689&amp;csym2=1", "Link")</f>
        <v/>
      </c>
    </row>
    <row r="1040">
      <c r="A1040" t="inlineStr">
        <is>
          <t>EMD-4341</t>
        </is>
      </c>
      <c r="B1040" t="inlineStr">
        <is>
          <t>non-amyloid</t>
        </is>
      </c>
      <c r="C1040" t="n">
        <v>3.93</v>
      </c>
      <c r="D1040" t="n">
        <v>44.9703</v>
      </c>
      <c r="E1040" t="n">
        <v>90.92140000000001</v>
      </c>
      <c r="F1040" t="inlineStr">
        <is>
          <t>C1</t>
        </is>
      </c>
      <c r="G1040" t="inlineStr">
        <is>
          <t>44.9703</t>
        </is>
      </c>
      <c r="H1040" t="n">
        <v>90.92140000000001</v>
      </c>
      <c r="I1040" t="inlineStr">
        <is>
          <t>C1</t>
        </is>
      </c>
      <c r="J1040" t="n">
        <v>0</v>
      </c>
      <c r="K1040" t="inlineStr"/>
      <c r="L1040" t="n">
        <v>0.91969</v>
      </c>
      <c r="M1040" t="n">
        <v>0.91969</v>
      </c>
      <c r="N1040" t="inlineStr">
        <is>
          <t>Yes</t>
        </is>
      </c>
      <c r="O1040" t="inlineStr">
        <is>
          <t>equal</t>
        </is>
      </c>
      <c r="P1040" t="inlineStr">
        <is>
          <t>deposited</t>
        </is>
      </c>
      <c r="Q1040" t="inlineStr"/>
      <c r="R1040" t="inlineStr"/>
      <c r="S1040">
        <f>HYPERLINK("https://helical-indexing-hi3d.streamlit.app/?emd_id=emd-4341&amp;rise=44.9703&amp;twist=90.9214&amp;csym=1&amp;rise2=44.9703&amp;twist2=90.9214&amp;csym2=1", "Link")</f>
        <v/>
      </c>
    </row>
    <row r="1041">
      <c r="A1041" t="inlineStr">
        <is>
          <t>EMD-4399</t>
        </is>
      </c>
      <c r="B1041" t="inlineStr">
        <is>
          <t>non-amyloid</t>
        </is>
      </c>
      <c r="C1041" t="n">
        <v>3.94</v>
      </c>
      <c r="D1041" t="n">
        <v>4.848</v>
      </c>
      <c r="E1041" t="n">
        <v>-101.12</v>
      </c>
      <c r="F1041" t="inlineStr">
        <is>
          <t>C1</t>
        </is>
      </c>
      <c r="G1041" t="inlineStr">
        <is>
          <t>4.848</t>
        </is>
      </c>
      <c r="H1041" t="n">
        <v>-101.12</v>
      </c>
      <c r="I1041" t="inlineStr">
        <is>
          <t>C1</t>
        </is>
      </c>
      <c r="J1041" t="n">
        <v>0</v>
      </c>
      <c r="K1041" t="inlineStr"/>
      <c r="L1041" t="n">
        <v>0.99737</v>
      </c>
      <c r="M1041" t="n">
        <v>0.99737</v>
      </c>
      <c r="N1041" t="inlineStr">
        <is>
          <t>Yes</t>
        </is>
      </c>
      <c r="O1041" t="inlineStr">
        <is>
          <t>equal</t>
        </is>
      </c>
      <c r="P1041" t="inlineStr">
        <is>
          <t>deposited</t>
        </is>
      </c>
      <c r="Q1041" t="inlineStr"/>
      <c r="R1041" t="inlineStr"/>
      <c r="S1041">
        <f>HYPERLINK("https://helical-indexing-hi3d.streamlit.app/?emd_id=emd-4399&amp;rise=4.848&amp;twist=-101.12&amp;csym=1&amp;rise2=4.848&amp;twist2=-101.12&amp;csym2=1", "Link")</f>
        <v/>
      </c>
    </row>
    <row r="1042">
      <c r="A1042" t="inlineStr">
        <is>
          <t>EMD-9996</t>
        </is>
      </c>
      <c r="B1042" t="inlineStr">
        <is>
          <t>non-amyloid</t>
        </is>
      </c>
      <c r="C1042" t="n">
        <v>3.94</v>
      </c>
      <c r="D1042" t="n">
        <v>9.20776</v>
      </c>
      <c r="E1042" t="n">
        <v>-25.7561</v>
      </c>
      <c r="F1042" t="inlineStr">
        <is>
          <t>C1</t>
        </is>
      </c>
      <c r="G1042" t="inlineStr"/>
      <c r="H1042" t="inlineStr"/>
      <c r="I1042" t="inlineStr">
        <is>
          <t>C1</t>
        </is>
      </c>
      <c r="J1042" t="inlineStr"/>
      <c r="K1042" t="inlineStr"/>
      <c r="L1042" t="inlineStr"/>
      <c r="M1042" t="inlineStr"/>
      <c r="N1042" t="inlineStr">
        <is>
          <t>No</t>
        </is>
      </c>
      <c r="O1042" t="inlineStr"/>
      <c r="P1042" t="inlineStr">
        <is>
          <t>single unit</t>
        </is>
      </c>
      <c r="Q1042" t="inlineStr"/>
      <c r="R1042" t="inlineStr"/>
      <c r="S1042">
        <f>HYPERLINK("https://helical-indexing-hi3d.streamlit.app/?emd_id=emd-9996&amp;rise=nan&amp;twist=nan&amp;csym=1&amp;rise2=9.20776&amp;twist2=-25.7561&amp;csym2=1", "Link")</f>
        <v/>
      </c>
    </row>
    <row r="1043">
      <c r="A1043" t="inlineStr">
        <is>
          <t>EMD-10554</t>
        </is>
      </c>
      <c r="B1043" t="inlineStr">
        <is>
          <t>non-amyloid</t>
        </is>
      </c>
      <c r="C1043" t="n">
        <v>3.96</v>
      </c>
      <c r="D1043" t="n">
        <v>62.7</v>
      </c>
      <c r="E1043" t="n">
        <v>-179.9</v>
      </c>
      <c r="F1043" t="inlineStr">
        <is>
          <t>C1</t>
        </is>
      </c>
      <c r="G1043" t="inlineStr"/>
      <c r="H1043" t="inlineStr"/>
      <c r="I1043" t="inlineStr">
        <is>
          <t>C1</t>
        </is>
      </c>
      <c r="J1043" t="inlineStr"/>
      <c r="K1043" t="inlineStr"/>
      <c r="L1043" t="inlineStr"/>
      <c r="M1043" t="inlineStr"/>
      <c r="N1043" t="inlineStr">
        <is>
          <t>No</t>
        </is>
      </c>
      <c r="O1043" t="inlineStr"/>
      <c r="P1043" t="inlineStr">
        <is>
          <t>single unit</t>
        </is>
      </c>
      <c r="Q1043" t="inlineStr"/>
      <c r="R1043" t="inlineStr"/>
      <c r="S1043">
        <f>HYPERLINK("https://helical-indexing-hi3d.streamlit.app/?emd_id=emd-10554&amp;rise=nan&amp;twist=nan&amp;csym=1&amp;rise2=62.7&amp;twist2=-179.9&amp;csym2=1", "Link")</f>
        <v/>
      </c>
    </row>
    <row r="1044">
      <c r="A1044" t="inlineStr">
        <is>
          <t>EMD-31160</t>
        </is>
      </c>
      <c r="B1044" t="inlineStr">
        <is>
          <t>non-amyloid</t>
        </is>
      </c>
      <c r="C1044" t="n">
        <v>3.98</v>
      </c>
      <c r="D1044" t="n">
        <v>15.8</v>
      </c>
      <c r="E1044" t="n">
        <v>56.7</v>
      </c>
      <c r="F1044" t="inlineStr">
        <is>
          <t>C1</t>
        </is>
      </c>
      <c r="G1044" t="inlineStr">
        <is>
          <t>15.56764562</t>
        </is>
      </c>
      <c r="H1044" t="n">
        <v>56.12361897</v>
      </c>
      <c r="I1044" t="inlineStr">
        <is>
          <t>C1</t>
        </is>
      </c>
      <c r="J1044" t="n">
        <v>0.266243838</v>
      </c>
      <c r="K1044" t="inlineStr"/>
      <c r="L1044" t="n">
        <v>0.76961</v>
      </c>
      <c r="M1044" t="n">
        <v>0.953192454</v>
      </c>
      <c r="N1044" t="inlineStr">
        <is>
          <t>Yes</t>
        </is>
      </c>
      <c r="O1044" t="inlineStr">
        <is>
          <t>improve</t>
        </is>
      </c>
      <c r="P1044" t="inlineStr">
        <is>
          <t>adjusted decimals</t>
        </is>
      </c>
      <c r="Q1044" t="inlineStr"/>
      <c r="R1044" t="inlineStr"/>
      <c r="S1044">
        <f>HYPERLINK("https://helical-indexing-hi3d.streamlit.app/?emd_id=emd-31160&amp;rise=15.56764562&amp;twist=56.12361897&amp;csym=1&amp;rise2=15.8&amp;twist2=56.7&amp;csym2=1", "Link")</f>
        <v/>
      </c>
    </row>
    <row r="1045">
      <c r="A1045" t="inlineStr">
        <is>
          <t>EMD-7028</t>
        </is>
      </c>
      <c r="B1045" t="inlineStr">
        <is>
          <t>microtubule</t>
        </is>
      </c>
      <c r="C1045" t="n">
        <v>3.98</v>
      </c>
      <c r="D1045" t="n">
        <v>5.5</v>
      </c>
      <c r="E1045" t="n">
        <v>168.083</v>
      </c>
      <c r="F1045" t="inlineStr">
        <is>
          <t>C1</t>
        </is>
      </c>
      <c r="G1045" t="inlineStr">
        <is>
          <t>5.5</t>
        </is>
      </c>
      <c r="H1045" t="n">
        <v>168.083</v>
      </c>
      <c r="I1045" t="inlineStr">
        <is>
          <t>C1</t>
        </is>
      </c>
      <c r="J1045" t="n">
        <v>0</v>
      </c>
      <c r="K1045" t="inlineStr"/>
      <c r="L1045" t="n">
        <v>0.968082144</v>
      </c>
      <c r="M1045" t="n">
        <v>0.968082144</v>
      </c>
      <c r="N1045" t="inlineStr">
        <is>
          <t>Yes</t>
        </is>
      </c>
      <c r="O1045" t="inlineStr">
        <is>
          <t>equal</t>
        </is>
      </c>
      <c r="P1045" t="inlineStr">
        <is>
          <t>deposited</t>
        </is>
      </c>
      <c r="Q1045" t="inlineStr"/>
      <c r="R1045" t="inlineStr"/>
      <c r="S1045">
        <f>HYPERLINK("https://helical-indexing-hi3d.streamlit.app/?emd_id=emd-7028&amp;rise=5.5&amp;twist=168.083&amp;csym=1&amp;rise2=5.5&amp;twist2=168.083&amp;csym2=1", "Link")</f>
        <v/>
      </c>
    </row>
    <row r="1046">
      <c r="A1046" t="inlineStr">
        <is>
          <t>EMD-7314</t>
        </is>
      </c>
      <c r="B1046" t="inlineStr">
        <is>
          <t>non-amyloid</t>
        </is>
      </c>
      <c r="C1046" t="n">
        <v>4</v>
      </c>
      <c r="D1046" t="n">
        <v>5</v>
      </c>
      <c r="E1046" t="n">
        <v>-100.8</v>
      </c>
      <c r="F1046" t="inlineStr">
        <is>
          <t>C1</t>
        </is>
      </c>
      <c r="G1046" t="inlineStr">
        <is>
          <t>4.916534243</t>
        </is>
      </c>
      <c r="H1046" t="n">
        <v>-100.8246924</v>
      </c>
      <c r="I1046" t="inlineStr">
        <is>
          <t>C1</t>
        </is>
      </c>
      <c r="J1046" t="n">
        <v>0.08372341899999999</v>
      </c>
      <c r="K1046" t="inlineStr"/>
      <c r="L1046" t="n">
        <v>0.87609</v>
      </c>
      <c r="M1046" t="n">
        <v>0.907983611</v>
      </c>
      <c r="N1046" t="inlineStr">
        <is>
          <t>Yes</t>
        </is>
      </c>
      <c r="O1046" t="inlineStr">
        <is>
          <t>improve</t>
        </is>
      </c>
      <c r="P1046" t="inlineStr">
        <is>
          <t>adjusted decimals</t>
        </is>
      </c>
      <c r="Q1046" t="inlineStr"/>
      <c r="R1046" t="inlineStr"/>
      <c r="S1046">
        <f>HYPERLINK("https://helical-indexing-hi3d.streamlit.app/?emd_id=emd-7314&amp;rise=4.916534243&amp;twist=-100.8246924&amp;csym=1&amp;rise2=5.0&amp;twist2=-100.8&amp;csym2=1", "Link")</f>
        <v/>
      </c>
    </row>
    <row r="1047">
      <c r="A1047" t="inlineStr">
        <is>
          <t>EMD-41167</t>
        </is>
      </c>
      <c r="B1047" t="inlineStr">
        <is>
          <t>microtubule</t>
        </is>
      </c>
      <c r="C1047" t="n">
        <v>4</v>
      </c>
      <c r="D1047" t="n">
        <v>82</v>
      </c>
      <c r="E1047" t="n">
        <v>0</v>
      </c>
      <c r="F1047" t="inlineStr">
        <is>
          <t>C1</t>
        </is>
      </c>
      <c r="G1047" t="inlineStr">
        <is>
          <t>82</t>
        </is>
      </c>
      <c r="H1047" t="n">
        <v>0</v>
      </c>
      <c r="I1047" t="inlineStr">
        <is>
          <t>C1</t>
        </is>
      </c>
      <c r="J1047" t="n">
        <v>0</v>
      </c>
      <c r="K1047" t="inlineStr"/>
      <c r="L1047" t="n">
        <v>0.81476</v>
      </c>
      <c r="M1047" t="n">
        <v>0.81476</v>
      </c>
      <c r="N1047" t="inlineStr">
        <is>
          <t>Yes</t>
        </is>
      </c>
      <c r="O1047" t="inlineStr">
        <is>
          <t>equal</t>
        </is>
      </c>
      <c r="P1047" t="inlineStr">
        <is>
          <t>deposited</t>
        </is>
      </c>
      <c r="Q1047" t="inlineStr"/>
      <c r="R1047" t="inlineStr"/>
      <c r="S1047">
        <f>HYPERLINK("https://helical-indexing-hi3d.streamlit.app/?emd_id=emd-41167&amp;rise=82&amp;twist=0.0&amp;csym=1&amp;rise2=82.0&amp;twist2=0.0&amp;csym2=1", "Link")</f>
        <v/>
      </c>
    </row>
    <row r="1048">
      <c r="A1048" t="inlineStr">
        <is>
          <t>EMD-41177</t>
        </is>
      </c>
      <c r="B1048" t="inlineStr">
        <is>
          <t>microtubule</t>
        </is>
      </c>
      <c r="C1048" t="n">
        <v>4</v>
      </c>
      <c r="D1048" t="n">
        <v>82</v>
      </c>
      <c r="E1048" t="n">
        <v>0</v>
      </c>
      <c r="F1048" t="inlineStr">
        <is>
          <t>C1</t>
        </is>
      </c>
      <c r="G1048" t="inlineStr">
        <is>
          <t>82</t>
        </is>
      </c>
      <c r="H1048" t="n">
        <v>0</v>
      </c>
      <c r="I1048" t="inlineStr">
        <is>
          <t>C1</t>
        </is>
      </c>
      <c r="J1048" t="n">
        <v>0</v>
      </c>
      <c r="K1048" t="inlineStr"/>
      <c r="L1048" t="n">
        <v>0.85233</v>
      </c>
      <c r="M1048" t="n">
        <v>0.85233</v>
      </c>
      <c r="N1048" t="inlineStr">
        <is>
          <t>Yes</t>
        </is>
      </c>
      <c r="O1048" t="inlineStr">
        <is>
          <t>equal</t>
        </is>
      </c>
      <c r="P1048" t="inlineStr">
        <is>
          <t>deposited</t>
        </is>
      </c>
      <c r="Q1048" t="inlineStr"/>
      <c r="R1048" t="inlineStr"/>
      <c r="S1048">
        <f>HYPERLINK("https://helical-indexing-hi3d.streamlit.app/?emd_id=emd-41177&amp;rise=82&amp;twist=0.0&amp;csym=1&amp;rise2=82.0&amp;twist2=0.0&amp;csym2=1", "Link")</f>
        <v/>
      </c>
    </row>
    <row r="1049">
      <c r="A1049" t="inlineStr">
        <is>
          <t>EMD-1641</t>
        </is>
      </c>
      <c r="B1049" t="inlineStr">
        <is>
          <t>non-amyloid</t>
        </is>
      </c>
      <c r="C1049" t="n">
        <v>4</v>
      </c>
      <c r="D1049" t="inlineStr"/>
      <c r="E1049" t="inlineStr"/>
      <c r="F1049" t="inlineStr"/>
      <c r="G1049" t="inlineStr"/>
      <c r="H1049" t="inlineStr"/>
      <c r="I1049" t="inlineStr">
        <is>
          <t>C1</t>
        </is>
      </c>
      <c r="J1049" t="inlineStr"/>
      <c r="K1049" t="inlineStr"/>
      <c r="L1049" t="inlineStr"/>
      <c r="M1049" t="inlineStr"/>
      <c r="N1049" t="inlineStr">
        <is>
          <t>No</t>
        </is>
      </c>
      <c r="O1049" t="inlineStr"/>
      <c r="P1049" t="inlineStr">
        <is>
          <t>single unit</t>
        </is>
      </c>
      <c r="Q1049" t="inlineStr"/>
      <c r="R1049" t="inlineStr"/>
      <c r="S1049" t="inlineStr"/>
    </row>
    <row r="1050">
      <c r="A1050" t="inlineStr">
        <is>
          <t>EMD-8298</t>
        </is>
      </c>
      <c r="B1050" t="inlineStr">
        <is>
          <t>non-amyloid</t>
        </is>
      </c>
      <c r="C1050" t="n">
        <v>4</v>
      </c>
      <c r="D1050" t="n">
        <v>5.3</v>
      </c>
      <c r="E1050" t="n">
        <v>106.65</v>
      </c>
      <c r="F1050" t="inlineStr">
        <is>
          <t>C1</t>
        </is>
      </c>
      <c r="G1050" t="inlineStr">
        <is>
          <t>5.445766512</t>
        </is>
      </c>
      <c r="H1050" t="n">
        <v>106.6517331</v>
      </c>
      <c r="I1050" t="inlineStr">
        <is>
          <t>C1</t>
        </is>
      </c>
      <c r="J1050" t="n">
        <v>0.1457702821913622</v>
      </c>
      <c r="K1050" t="inlineStr"/>
      <c r="L1050" t="n">
        <v>0.66474</v>
      </c>
      <c r="M1050" t="n">
        <v>0.795993755</v>
      </c>
      <c r="N1050" t="inlineStr">
        <is>
          <t>Yes</t>
        </is>
      </c>
      <c r="O1050" t="inlineStr">
        <is>
          <t>improve</t>
        </is>
      </c>
      <c r="P1050" t="inlineStr">
        <is>
          <t>adjusted decimals</t>
        </is>
      </c>
      <c r="Q1050" t="inlineStr"/>
      <c r="R1050" t="inlineStr"/>
      <c r="S1050">
        <f>HYPERLINK("https://helical-indexing-hi3d.streamlit.app/?emd_id=emd-8298&amp;rise=5.445766512&amp;twist=106.6517331&amp;csym=1&amp;rise2=5.3&amp;twist2=106.65&amp;csym2=1", "Link")</f>
        <v/>
      </c>
    </row>
    <row r="1051">
      <c r="A1051" t="inlineStr">
        <is>
          <t>EMD-41169</t>
        </is>
      </c>
      <c r="B1051" t="inlineStr">
        <is>
          <t>microtubule</t>
        </is>
      </c>
      <c r="C1051" t="n">
        <v>4</v>
      </c>
      <c r="D1051" t="n">
        <v>82</v>
      </c>
      <c r="E1051" t="n">
        <v>0</v>
      </c>
      <c r="F1051" t="inlineStr">
        <is>
          <t>C1</t>
        </is>
      </c>
      <c r="G1051" t="inlineStr">
        <is>
          <t>82</t>
        </is>
      </c>
      <c r="H1051" t="n">
        <v>0</v>
      </c>
      <c r="I1051" t="inlineStr">
        <is>
          <t>C1</t>
        </is>
      </c>
      <c r="J1051" t="n">
        <v>0</v>
      </c>
      <c r="K1051" t="inlineStr"/>
      <c r="L1051" t="n">
        <v>0.9026</v>
      </c>
      <c r="M1051" t="n">
        <v>0.9026</v>
      </c>
      <c r="N1051" t="inlineStr">
        <is>
          <t>Yes</t>
        </is>
      </c>
      <c r="O1051" t="inlineStr">
        <is>
          <t>equal</t>
        </is>
      </c>
      <c r="P1051" t="inlineStr">
        <is>
          <t>deposited</t>
        </is>
      </c>
      <c r="Q1051" t="inlineStr"/>
      <c r="R1051" t="inlineStr"/>
      <c r="S1051">
        <f>HYPERLINK("https://helical-indexing-hi3d.streamlit.app/?emd_id=emd-41169&amp;rise=82&amp;twist=0.0&amp;csym=1&amp;rise2=82.0&amp;twist2=0.0&amp;csym2=1", "Link")</f>
        <v/>
      </c>
    </row>
    <row r="1052">
      <c r="A1052" t="inlineStr">
        <is>
          <t>EMD-41176</t>
        </is>
      </c>
      <c r="B1052" t="inlineStr">
        <is>
          <t>microtubule</t>
        </is>
      </c>
      <c r="C1052" t="n">
        <v>4</v>
      </c>
      <c r="D1052" t="n">
        <v>82</v>
      </c>
      <c r="E1052" t="n">
        <v>0</v>
      </c>
      <c r="F1052" t="inlineStr">
        <is>
          <t>C1</t>
        </is>
      </c>
      <c r="G1052" t="inlineStr">
        <is>
          <t>82</t>
        </is>
      </c>
      <c r="H1052" t="n">
        <v>0</v>
      </c>
      <c r="I1052" t="inlineStr">
        <is>
          <t>C1</t>
        </is>
      </c>
      <c r="J1052" t="n">
        <v>0</v>
      </c>
      <c r="K1052" t="inlineStr"/>
      <c r="L1052" t="n">
        <v>0.8532999999999999</v>
      </c>
      <c r="M1052" t="n">
        <v>0.8532999999999999</v>
      </c>
      <c r="N1052" t="inlineStr">
        <is>
          <t>Yes</t>
        </is>
      </c>
      <c r="O1052" t="inlineStr">
        <is>
          <t>equal</t>
        </is>
      </c>
      <c r="P1052" t="inlineStr">
        <is>
          <t>deposited</t>
        </is>
      </c>
      <c r="Q1052" t="inlineStr"/>
      <c r="R1052" t="inlineStr"/>
      <c r="S1052">
        <f>HYPERLINK("https://helical-indexing-hi3d.streamlit.app/?emd_id=emd-41176&amp;rise=82&amp;twist=0.0&amp;csym=1&amp;rise2=82.0&amp;twist2=0.0&amp;csym2=1", "Link")</f>
        <v/>
      </c>
    </row>
    <row r="1053">
      <c r="A1053" t="inlineStr">
        <is>
          <t>EMD-9332</t>
        </is>
      </c>
      <c r="B1053" t="inlineStr">
        <is>
          <t>non-amyloid</t>
        </is>
      </c>
      <c r="C1053" t="n">
        <v>4</v>
      </c>
      <c r="D1053" t="n">
        <v>5.11</v>
      </c>
      <c r="E1053" t="n">
        <v>-101.6</v>
      </c>
      <c r="F1053" t="inlineStr">
        <is>
          <t>C1</t>
        </is>
      </c>
      <c r="G1053" t="inlineStr">
        <is>
          <t>5.091062583</t>
        </is>
      </c>
      <c r="H1053" t="n">
        <v>-101.5576296</v>
      </c>
      <c r="I1053" t="inlineStr">
        <is>
          <t>C1</t>
        </is>
      </c>
      <c r="J1053" t="n">
        <v>0.0244264237661313</v>
      </c>
      <c r="K1053" t="inlineStr"/>
      <c r="L1053" t="n">
        <v>0.94611</v>
      </c>
      <c r="M1053" t="n">
        <v>0.947550103</v>
      </c>
      <c r="N1053" t="inlineStr">
        <is>
          <t>Yes</t>
        </is>
      </c>
      <c r="O1053" t="inlineStr">
        <is>
          <t>improve</t>
        </is>
      </c>
      <c r="P1053" t="inlineStr">
        <is>
          <t>adjusted decimals</t>
        </is>
      </c>
      <c r="Q1053" t="inlineStr"/>
      <c r="R1053" t="inlineStr"/>
      <c r="S1053">
        <f>HYPERLINK("https://helical-indexing-hi3d.streamlit.app/?emd_id=emd-9332&amp;rise=5.091062583&amp;twist=-101.5576296&amp;csym=1&amp;rise2=5.11&amp;twist2=-101.6&amp;csym2=1", "Link")</f>
        <v/>
      </c>
    </row>
    <row r="1054">
      <c r="A1054" t="inlineStr">
        <is>
          <t>EMD-1044</t>
        </is>
      </c>
      <c r="B1054" t="inlineStr">
        <is>
          <t>non-amyloid</t>
        </is>
      </c>
      <c r="C1054" t="n">
        <v>4</v>
      </c>
      <c r="D1054" t="inlineStr"/>
      <c r="E1054" t="inlineStr"/>
      <c r="F1054" t="inlineStr"/>
      <c r="G1054" t="inlineStr"/>
      <c r="H1054" t="inlineStr"/>
      <c r="I1054" t="inlineStr">
        <is>
          <t>C1</t>
        </is>
      </c>
      <c r="J1054" t="inlineStr"/>
      <c r="K1054" t="inlineStr"/>
      <c r="L1054" t="inlineStr"/>
      <c r="M1054" t="inlineStr"/>
      <c r="N1054" t="inlineStr">
        <is>
          <t>No</t>
        </is>
      </c>
      <c r="O1054" t="inlineStr"/>
      <c r="P1054" t="inlineStr">
        <is>
          <t>single unit</t>
        </is>
      </c>
      <c r="Q1054" t="inlineStr"/>
      <c r="R1054" t="inlineStr"/>
      <c r="S1054" t="inlineStr"/>
    </row>
    <row r="1055">
      <c r="A1055" t="inlineStr">
        <is>
          <t>EMD-14353</t>
        </is>
      </c>
      <c r="B1055" t="inlineStr">
        <is>
          <t>non-amyloid</t>
        </is>
      </c>
      <c r="C1055" t="n">
        <v>4</v>
      </c>
      <c r="D1055" t="n">
        <v>20.47</v>
      </c>
      <c r="E1055" t="n">
        <v>49.43</v>
      </c>
      <c r="F1055" t="inlineStr">
        <is>
          <t>C3</t>
        </is>
      </c>
      <c r="G1055" t="inlineStr">
        <is>
          <t>20.47</t>
        </is>
      </c>
      <c r="H1055" t="n">
        <v>49.43</v>
      </c>
      <c r="I1055" t="inlineStr">
        <is>
          <t>C3</t>
        </is>
      </c>
      <c r="J1055" t="n">
        <v>0</v>
      </c>
      <c r="K1055" t="inlineStr"/>
      <c r="L1055" t="n">
        <v>0.887135984</v>
      </c>
      <c r="M1055" t="n">
        <v>0.887135984</v>
      </c>
      <c r="N1055" t="inlineStr">
        <is>
          <t>Yes</t>
        </is>
      </c>
      <c r="O1055" t="inlineStr">
        <is>
          <t>equal</t>
        </is>
      </c>
      <c r="P1055" t="inlineStr">
        <is>
          <t>deposited</t>
        </is>
      </c>
      <c r="Q1055" t="inlineStr"/>
      <c r="R1055" t="inlineStr"/>
      <c r="S1055">
        <f>HYPERLINK("https://helical-indexing-hi3d.streamlit.app/?emd_id=emd-14353&amp;rise=20.47&amp;twist=49.43&amp;csym=3&amp;rise2=20.47&amp;twist2=49.43&amp;csym2=3", "Link")</f>
        <v/>
      </c>
    </row>
    <row r="1056">
      <c r="A1056" t="inlineStr">
        <is>
          <t>EMD-0497</t>
        </is>
      </c>
      <c r="B1056" t="inlineStr">
        <is>
          <t>non-amyloid</t>
        </is>
      </c>
      <c r="C1056" t="n">
        <v>4</v>
      </c>
      <c r="D1056" t="n">
        <v>8.6</v>
      </c>
      <c r="E1056" t="n">
        <v>113.3</v>
      </c>
      <c r="F1056" t="inlineStr">
        <is>
          <t>C1</t>
        </is>
      </c>
      <c r="G1056" t="inlineStr">
        <is>
          <t>8.585572077</t>
        </is>
      </c>
      <c r="H1056" t="n">
        <v>113.3139683</v>
      </c>
      <c r="I1056" t="inlineStr">
        <is>
          <t>C1</t>
        </is>
      </c>
      <c r="J1056" t="n">
        <v>0.0147647706717295</v>
      </c>
      <c r="K1056" t="inlineStr"/>
      <c r="L1056" t="n">
        <v>0.99616</v>
      </c>
      <c r="M1056" t="n">
        <v>0.996179466</v>
      </c>
      <c r="N1056" t="inlineStr">
        <is>
          <t>Yes</t>
        </is>
      </c>
      <c r="O1056" t="inlineStr">
        <is>
          <t>improve</t>
        </is>
      </c>
      <c r="P1056" t="inlineStr">
        <is>
          <t>adjusted decimals</t>
        </is>
      </c>
      <c r="Q1056" t="inlineStr"/>
      <c r="R1056" t="inlineStr"/>
      <c r="S1056">
        <f>HYPERLINK("https://helical-indexing-hi3d.streamlit.app/?emd_id=emd-0497&amp;rise=8.585572077&amp;twist=113.3139683&amp;csym=1&amp;rise2=8.6&amp;twist2=113.3&amp;csym2=1", "Link")</f>
        <v/>
      </c>
    </row>
    <row r="1057">
      <c r="A1057" t="inlineStr">
        <is>
          <t>EMD-23083</t>
        </is>
      </c>
      <c r="B1057" t="inlineStr">
        <is>
          <t>non-amyloid</t>
        </is>
      </c>
      <c r="C1057" t="n">
        <v>4</v>
      </c>
      <c r="D1057" t="n">
        <v>82</v>
      </c>
      <c r="E1057" t="n">
        <v>0</v>
      </c>
      <c r="F1057" t="inlineStr">
        <is>
          <t>C1</t>
        </is>
      </c>
      <c r="G1057" t="inlineStr"/>
      <c r="H1057" t="inlineStr"/>
      <c r="I1057" t="inlineStr">
        <is>
          <t>C1</t>
        </is>
      </c>
      <c r="J1057" t="inlineStr"/>
      <c r="K1057" t="inlineStr"/>
      <c r="L1057" t="n">
        <v>0.63757</v>
      </c>
      <c r="M1057" t="inlineStr"/>
      <c r="N1057" t="inlineStr">
        <is>
          <t>Excluded</t>
        </is>
      </c>
      <c r="O1057" t="inlineStr">
        <is>
          <t>worse</t>
        </is>
      </c>
      <c r="P1057" t="inlineStr">
        <is>
          <t>focus reconstruction</t>
        </is>
      </c>
      <c r="Q1057" t="inlineStr"/>
      <c r="R1057" t="inlineStr"/>
      <c r="S1057">
        <f>HYPERLINK("https://helical-indexing-hi3d.streamlit.app/?emd_id=emd-23083&amp;rise=nan&amp;twist=nan&amp;csym=1&amp;rise2=82.0&amp;twist2=0.0&amp;csym2=1", "Link")</f>
        <v/>
      </c>
    </row>
    <row r="1058">
      <c r="A1058" t="inlineStr">
        <is>
          <t>EMD-24595</t>
        </is>
      </c>
      <c r="B1058" t="inlineStr">
        <is>
          <t>non-amyloid</t>
        </is>
      </c>
      <c r="C1058" t="n">
        <v>4</v>
      </c>
      <c r="D1058" t="n">
        <v>0.591</v>
      </c>
      <c r="E1058" t="n">
        <v>-103.9</v>
      </c>
      <c r="F1058" t="inlineStr">
        <is>
          <t>C1</t>
        </is>
      </c>
      <c r="G1058" t="inlineStr">
        <is>
          <t>0.591</t>
        </is>
      </c>
      <c r="H1058" t="n">
        <v>-103.9</v>
      </c>
      <c r="I1058" t="inlineStr">
        <is>
          <t>C1</t>
        </is>
      </c>
      <c r="J1058" t="n">
        <v>0</v>
      </c>
      <c r="K1058" t="inlineStr"/>
      <c r="L1058" t="n">
        <v>0.863429071</v>
      </c>
      <c r="M1058" t="n">
        <v>0.863429071</v>
      </c>
      <c r="N1058" t="inlineStr">
        <is>
          <t>Yes</t>
        </is>
      </c>
      <c r="O1058" t="inlineStr">
        <is>
          <t>equal</t>
        </is>
      </c>
      <c r="P1058" t="inlineStr">
        <is>
          <t>deposited</t>
        </is>
      </c>
      <c r="Q1058" t="inlineStr"/>
      <c r="R1058" t="inlineStr"/>
      <c r="S1058">
        <f>HYPERLINK("https://helical-indexing-hi3d.streamlit.app/?emd_id=emd-24595&amp;rise=0.591&amp;twist=-103.9&amp;csym=1&amp;rise2=0.591&amp;twist2=-103.9&amp;csym2=1", "Link")</f>
        <v/>
      </c>
    </row>
    <row r="1059">
      <c r="A1059" t="inlineStr">
        <is>
          <t>EMD-3785</t>
        </is>
      </c>
      <c r="B1059" t="inlineStr">
        <is>
          <t>non-amyloid</t>
        </is>
      </c>
      <c r="C1059" t="n">
        <v>4</v>
      </c>
      <c r="D1059" t="n">
        <v>3.99</v>
      </c>
      <c r="E1059" t="n">
        <v>-40.87</v>
      </c>
      <c r="F1059" t="inlineStr">
        <is>
          <t>C1</t>
        </is>
      </c>
      <c r="G1059" t="inlineStr">
        <is>
          <t>3.99</t>
        </is>
      </c>
      <c r="H1059" t="n">
        <v>-40.87</v>
      </c>
      <c r="I1059" t="inlineStr">
        <is>
          <t>C1</t>
        </is>
      </c>
      <c r="J1059" t="n">
        <v>0</v>
      </c>
      <c r="K1059" t="inlineStr"/>
      <c r="L1059" t="n">
        <v>0.8386</v>
      </c>
      <c r="M1059" t="n">
        <v>0.8386</v>
      </c>
      <c r="N1059" t="inlineStr">
        <is>
          <t>Yes</t>
        </is>
      </c>
      <c r="O1059" t="inlineStr">
        <is>
          <t>equal</t>
        </is>
      </c>
      <c r="P1059" t="inlineStr">
        <is>
          <t>deposited</t>
        </is>
      </c>
      <c r="Q1059" t="inlineStr"/>
      <c r="R1059" t="inlineStr"/>
      <c r="S1059">
        <f>HYPERLINK("https://helical-indexing-hi3d.streamlit.app/?emd_id=emd-3785&amp;rise=3.99&amp;twist=-40.87&amp;csym=1&amp;rise2=3.99&amp;twist2=-40.87&amp;csym2=1", "Link")</f>
        <v/>
      </c>
    </row>
    <row r="1060">
      <c r="A1060" t="inlineStr">
        <is>
          <t>EMD-21815</t>
        </is>
      </c>
      <c r="B1060" t="inlineStr">
        <is>
          <t>non-amyloid</t>
        </is>
      </c>
      <c r="C1060" t="n">
        <v>4</v>
      </c>
      <c r="D1060" t="n">
        <v>2.5</v>
      </c>
      <c r="E1060" t="n">
        <v>124</v>
      </c>
      <c r="F1060" t="inlineStr">
        <is>
          <t>C1</t>
        </is>
      </c>
      <c r="G1060" t="inlineStr">
        <is>
          <t>2.5</t>
        </is>
      </c>
      <c r="H1060" t="n">
        <v>124</v>
      </c>
      <c r="I1060" t="inlineStr">
        <is>
          <t>C1</t>
        </is>
      </c>
      <c r="J1060" t="n">
        <v>0</v>
      </c>
      <c r="K1060" t="inlineStr"/>
      <c r="L1060" t="n">
        <v>0.93594</v>
      </c>
      <c r="M1060" t="n">
        <v>0.93594</v>
      </c>
      <c r="N1060" t="inlineStr">
        <is>
          <t>Yes</t>
        </is>
      </c>
      <c r="O1060" t="inlineStr">
        <is>
          <t>equal</t>
        </is>
      </c>
      <c r="P1060" t="inlineStr">
        <is>
          <t>deposited</t>
        </is>
      </c>
      <c r="Q1060" t="inlineStr"/>
      <c r="R1060" t="inlineStr"/>
      <c r="S1060">
        <f>HYPERLINK("https://helical-indexing-hi3d.streamlit.app/?emd_id=emd-21815&amp;rise=2.5&amp;twist=124.0&amp;csym=1&amp;rise2=2.5&amp;twist2=124.0&amp;csym2=1", "Link")</f>
        <v/>
      </c>
    </row>
    <row r="1061">
      <c r="A1061" t="inlineStr">
        <is>
          <t>EMD-2971</t>
        </is>
      </c>
      <c r="B1061" t="inlineStr">
        <is>
          <t>non-amyloid</t>
        </is>
      </c>
      <c r="C1061" t="n">
        <v>4</v>
      </c>
      <c r="D1061" t="n">
        <v>14.2</v>
      </c>
      <c r="E1061" t="n">
        <v>53</v>
      </c>
      <c r="F1061" t="inlineStr">
        <is>
          <t>C3</t>
        </is>
      </c>
      <c r="G1061" t="inlineStr">
        <is>
          <t>14.3091404</t>
        </is>
      </c>
      <c r="H1061" t="n">
        <v>53.43021586</v>
      </c>
      <c r="I1061" t="inlineStr">
        <is>
          <t>C3</t>
        </is>
      </c>
      <c r="J1061" t="n">
        <v>0.2055422438580051</v>
      </c>
      <c r="K1061" t="inlineStr"/>
      <c r="L1061" t="n">
        <v>0.9119</v>
      </c>
      <c r="M1061" t="n">
        <v>0.95294066</v>
      </c>
      <c r="N1061" t="inlineStr">
        <is>
          <t>Yes</t>
        </is>
      </c>
      <c r="O1061" t="inlineStr">
        <is>
          <t>improve</t>
        </is>
      </c>
      <c r="P1061" t="inlineStr">
        <is>
          <t>adjusted decimals</t>
        </is>
      </c>
      <c r="Q1061" t="inlineStr"/>
      <c r="R1061" t="inlineStr"/>
      <c r="S1061">
        <f>HYPERLINK("https://helical-indexing-hi3d.streamlit.app/?emd_id=emd-2971&amp;rise=14.3091404&amp;twist=53.43021586&amp;csym=3&amp;rise2=14.2&amp;twist2=53.0&amp;csym2=3", "Link")</f>
        <v/>
      </c>
    </row>
    <row r="1062">
      <c r="A1062" t="inlineStr">
        <is>
          <t>EMD-6461</t>
        </is>
      </c>
      <c r="B1062" t="inlineStr">
        <is>
          <t>non-amyloid</t>
        </is>
      </c>
      <c r="C1062" t="n">
        <v>4</v>
      </c>
      <c r="D1062" t="n">
        <v>2.96</v>
      </c>
      <c r="E1062" t="n">
        <v>21.06</v>
      </c>
      <c r="F1062" t="inlineStr">
        <is>
          <t>C1</t>
        </is>
      </c>
      <c r="G1062" t="inlineStr">
        <is>
          <t>2.96</t>
        </is>
      </c>
      <c r="H1062" t="n">
        <v>21.06</v>
      </c>
      <c r="I1062" t="inlineStr">
        <is>
          <t>C1</t>
        </is>
      </c>
      <c r="J1062" t="n">
        <v>0</v>
      </c>
      <c r="K1062" t="inlineStr"/>
      <c r="L1062" t="n">
        <v>0.870622534</v>
      </c>
      <c r="M1062" t="n">
        <v>0.870622534</v>
      </c>
      <c r="N1062" t="inlineStr">
        <is>
          <t>Yes</t>
        </is>
      </c>
      <c r="O1062" t="inlineStr">
        <is>
          <t>equal</t>
        </is>
      </c>
      <c r="P1062" t="inlineStr">
        <is>
          <t>deposited</t>
        </is>
      </c>
      <c r="Q1062" t="inlineStr"/>
      <c r="R1062" t="inlineStr"/>
      <c r="S1062">
        <f>HYPERLINK("https://helical-indexing-hi3d.streamlit.app/?emd_id=emd-6461&amp;rise=2.96&amp;twist=21.06&amp;csym=1&amp;rise2=2.96&amp;twist2=21.06&amp;csym2=1", "Link")</f>
        <v/>
      </c>
    </row>
    <row r="1063">
      <c r="A1063" t="inlineStr">
        <is>
          <t>EMD-8150</t>
        </is>
      </c>
      <c r="B1063" t="inlineStr">
        <is>
          <t>microtubule</t>
        </is>
      </c>
      <c r="C1063" t="n">
        <v>4</v>
      </c>
      <c r="D1063" t="n">
        <v>8.859999999999999</v>
      </c>
      <c r="E1063" t="n">
        <v>-25.71</v>
      </c>
      <c r="F1063" t="inlineStr">
        <is>
          <t>C14</t>
        </is>
      </c>
      <c r="G1063" t="inlineStr"/>
      <c r="H1063" t="inlineStr"/>
      <c r="I1063" t="inlineStr">
        <is>
          <t>C1</t>
        </is>
      </c>
      <c r="J1063" t="inlineStr"/>
      <c r="K1063" t="inlineStr"/>
      <c r="L1063" t="inlineStr"/>
      <c r="M1063" t="inlineStr"/>
      <c r="N1063" t="inlineStr">
        <is>
          <t>No</t>
        </is>
      </c>
      <c r="O1063" t="inlineStr"/>
      <c r="P1063" t="inlineStr">
        <is>
          <t>single unit</t>
        </is>
      </c>
      <c r="Q1063" t="inlineStr"/>
      <c r="R1063" t="inlineStr"/>
      <c r="S1063">
        <f>HYPERLINK("https://helical-indexing-hi3d.streamlit.app/?emd_id=emd-8150&amp;rise=nan&amp;twist=nan&amp;csym=1&amp;rise2=8.86&amp;twist2=-25.71&amp;csym2=14", "Link")</f>
        <v/>
      </c>
    </row>
    <row r="1064">
      <c r="A1064" t="inlineStr">
        <is>
          <t>EMD-21868</t>
        </is>
      </c>
      <c r="B1064" t="inlineStr">
        <is>
          <t>non-amyloid</t>
        </is>
      </c>
      <c r="C1064" t="n">
        <v>4</v>
      </c>
      <c r="D1064" t="n">
        <v>5.48</v>
      </c>
      <c r="E1064" t="n">
        <v>38.49</v>
      </c>
      <c r="F1064" t="inlineStr">
        <is>
          <t>C1</t>
        </is>
      </c>
      <c r="G1064" t="inlineStr">
        <is>
          <t>5.48</t>
        </is>
      </c>
      <c r="H1064" t="n">
        <v>38.49</v>
      </c>
      <c r="I1064" t="inlineStr">
        <is>
          <t>C1</t>
        </is>
      </c>
      <c r="J1064" t="n">
        <v>0</v>
      </c>
      <c r="K1064" t="inlineStr"/>
      <c r="L1064" t="n">
        <v>0.99804</v>
      </c>
      <c r="M1064" t="n">
        <v>0.99804</v>
      </c>
      <c r="N1064" t="inlineStr">
        <is>
          <t>Yes</t>
        </is>
      </c>
      <c r="O1064" t="inlineStr">
        <is>
          <t>equal</t>
        </is>
      </c>
      <c r="P1064" t="inlineStr">
        <is>
          <t>deposited</t>
        </is>
      </c>
      <c r="Q1064" t="inlineStr"/>
      <c r="R1064" t="inlineStr"/>
      <c r="S1064">
        <f>HYPERLINK("https://helical-indexing-hi3d.streamlit.app/?emd_id=emd-21868&amp;rise=5.48&amp;twist=38.49&amp;csym=1&amp;rise2=5.48&amp;twist2=38.49&amp;csym2=1", "Link")</f>
        <v/>
      </c>
    </row>
    <row r="1065">
      <c r="A1065" t="inlineStr">
        <is>
          <t>EMD-3567</t>
        </is>
      </c>
      <c r="B1065" t="inlineStr">
        <is>
          <t>non-amyloid</t>
        </is>
      </c>
      <c r="C1065" t="n">
        <v>4</v>
      </c>
      <c r="D1065" t="n">
        <v>21.7</v>
      </c>
      <c r="E1065" t="n">
        <v>29.4</v>
      </c>
      <c r="F1065" t="inlineStr">
        <is>
          <t>C6</t>
        </is>
      </c>
      <c r="G1065" t="inlineStr">
        <is>
          <t>21.64981323</t>
        </is>
      </c>
      <c r="H1065" t="n">
        <v>29.36497205</v>
      </c>
      <c r="I1065" t="inlineStr">
        <is>
          <t>C6</t>
        </is>
      </c>
      <c r="J1065" t="n">
        <v>0.069507926</v>
      </c>
      <c r="K1065" t="inlineStr"/>
      <c r="L1065" t="n">
        <v>0.92266</v>
      </c>
      <c r="M1065" t="n">
        <v>0.923697505</v>
      </c>
      <c r="N1065" t="inlineStr">
        <is>
          <t>Yes</t>
        </is>
      </c>
      <c r="O1065" t="inlineStr">
        <is>
          <t>improve</t>
        </is>
      </c>
      <c r="P1065" t="inlineStr">
        <is>
          <t>adjusted decimals</t>
        </is>
      </c>
      <c r="Q1065" t="inlineStr"/>
      <c r="R1065" t="inlineStr"/>
      <c r="S1065">
        <f>HYPERLINK("https://helical-indexing-hi3d.streamlit.app/?emd_id=emd-3567&amp;rise=21.64981323&amp;twist=29.36497205&amp;csym=6&amp;rise2=21.7&amp;twist2=29.4&amp;csym2=6", "Link")</f>
        <v/>
      </c>
    </row>
    <row r="1066">
      <c r="A1066" t="inlineStr">
        <is>
          <t>EMD-8756</t>
        </is>
      </c>
      <c r="B1066" t="inlineStr">
        <is>
          <t>microtubule</t>
        </is>
      </c>
      <c r="C1066" t="n">
        <v>4</v>
      </c>
      <c r="D1066" t="n">
        <v>10.43</v>
      </c>
      <c r="E1066" t="n">
        <v>-29.87</v>
      </c>
      <c r="F1066" t="inlineStr">
        <is>
          <t>C1</t>
        </is>
      </c>
      <c r="G1066" t="inlineStr">
        <is>
          <t>10.43</t>
        </is>
      </c>
      <c r="H1066" t="n">
        <v>-29.87</v>
      </c>
      <c r="I1066" t="inlineStr">
        <is>
          <t>C1</t>
        </is>
      </c>
      <c r="J1066" t="n">
        <v>0</v>
      </c>
      <c r="K1066" t="inlineStr"/>
      <c r="L1066" t="n">
        <v>0.896635523</v>
      </c>
      <c r="M1066" t="n">
        <v>0.896635523</v>
      </c>
      <c r="N1066" t="inlineStr">
        <is>
          <t>Yes</t>
        </is>
      </c>
      <c r="O1066" t="inlineStr">
        <is>
          <t>equal</t>
        </is>
      </c>
      <c r="P1066" t="inlineStr">
        <is>
          <t>deposited</t>
        </is>
      </c>
      <c r="Q1066" t="inlineStr"/>
      <c r="R1066" t="inlineStr"/>
      <c r="S1066">
        <f>HYPERLINK("https://helical-indexing-hi3d.streamlit.app/?emd_id=emd-8756&amp;rise=10.43&amp;twist=-29.87&amp;csym=1&amp;rise2=10.43&amp;twist2=-29.87&amp;csym2=1", "Link")</f>
        <v/>
      </c>
    </row>
    <row r="1067">
      <c r="A1067" t="inlineStr">
        <is>
          <t>EMD-8757</t>
        </is>
      </c>
      <c r="B1067" t="inlineStr">
        <is>
          <t>microtubule</t>
        </is>
      </c>
      <c r="C1067" t="n">
        <v>4</v>
      </c>
      <c r="D1067" t="n">
        <v>10.41</v>
      </c>
      <c r="E1067" t="n">
        <v>-29.87</v>
      </c>
      <c r="F1067" t="inlineStr">
        <is>
          <t>C1</t>
        </is>
      </c>
      <c r="G1067" t="inlineStr">
        <is>
          <t>10.41</t>
        </is>
      </c>
      <c r="H1067" t="n">
        <v>-29.87</v>
      </c>
      <c r="I1067" t="inlineStr">
        <is>
          <t>C1</t>
        </is>
      </c>
      <c r="J1067" t="n">
        <v>0</v>
      </c>
      <c r="K1067" t="inlineStr"/>
      <c r="L1067" t="n">
        <v>0.924368382</v>
      </c>
      <c r="M1067" t="n">
        <v>0.924368382</v>
      </c>
      <c r="N1067" t="inlineStr">
        <is>
          <t>Yes</t>
        </is>
      </c>
      <c r="O1067" t="inlineStr">
        <is>
          <t>equal</t>
        </is>
      </c>
      <c r="P1067" t="inlineStr">
        <is>
          <t>deposited</t>
        </is>
      </c>
      <c r="Q1067" t="inlineStr"/>
      <c r="R1067" t="inlineStr"/>
      <c r="S1067">
        <f>HYPERLINK("https://helical-indexing-hi3d.streamlit.app/?emd_id=emd-8757&amp;rise=10.41&amp;twist=-29.87&amp;csym=1&amp;rise2=10.41&amp;twist2=-29.87&amp;csym2=1", "Link")</f>
        <v/>
      </c>
    </row>
    <row r="1068">
      <c r="A1068" t="inlineStr">
        <is>
          <t>EMD-28709</t>
        </is>
      </c>
      <c r="B1068" t="inlineStr">
        <is>
          <t>non-amyloid</t>
        </is>
      </c>
      <c r="C1068" t="n">
        <v>4</v>
      </c>
      <c r="D1068" t="n">
        <v>3.15</v>
      </c>
      <c r="E1068" t="n">
        <v>-20.91</v>
      </c>
      <c r="F1068" t="inlineStr">
        <is>
          <t>C1</t>
        </is>
      </c>
      <c r="G1068" t="inlineStr">
        <is>
          <t>3.146558528</t>
        </is>
      </c>
      <c r="H1068" t="n">
        <v>-20.83062014</v>
      </c>
      <c r="I1068" t="inlineStr">
        <is>
          <t>C1</t>
        </is>
      </c>
      <c r="J1068" t="n">
        <v>0.079565644</v>
      </c>
      <c r="K1068" t="inlineStr"/>
      <c r="L1068" t="n">
        <v>0.58988</v>
      </c>
      <c r="M1068" t="n">
        <v>0.884874009</v>
      </c>
      <c r="N1068" t="inlineStr">
        <is>
          <t>Yes</t>
        </is>
      </c>
      <c r="O1068" t="inlineStr">
        <is>
          <t>improve</t>
        </is>
      </c>
      <c r="P1068" t="inlineStr">
        <is>
          <t>adjusted decimals</t>
        </is>
      </c>
      <c r="Q1068" t="inlineStr"/>
      <c r="R1068" t="inlineStr"/>
      <c r="S1068">
        <f>HYPERLINK("https://helical-indexing-hi3d.streamlit.app/?emd_id=emd-28709&amp;rise=3.146558528&amp;twist=-20.83062014&amp;csym=1&amp;rise2=3.15&amp;twist2=-20.91&amp;csym2=1", "Link")</f>
        <v/>
      </c>
    </row>
    <row r="1069">
      <c r="A1069" t="inlineStr">
        <is>
          <t>EMD-6876</t>
        </is>
      </c>
      <c r="B1069" t="inlineStr">
        <is>
          <t>non-amyloid</t>
        </is>
      </c>
      <c r="C1069" t="n">
        <v>4</v>
      </c>
      <c r="D1069" t="inlineStr"/>
      <c r="E1069" t="inlineStr"/>
      <c r="F1069" t="inlineStr"/>
      <c r="G1069" t="inlineStr">
        <is>
          <t>5.702210885</t>
        </is>
      </c>
      <c r="H1069" t="n">
        <v>108.112196</v>
      </c>
      <c r="I1069" t="inlineStr">
        <is>
          <t>Cnan</t>
        </is>
      </c>
      <c r="J1069" t="inlineStr"/>
      <c r="K1069" t="inlineStr">
        <is>
          <t> </t>
        </is>
      </c>
      <c r="L1069" t="inlineStr"/>
      <c r="M1069" t="n">
        <v>0.831623884</v>
      </c>
      <c r="N1069" t="inlineStr">
        <is>
          <t>Yes</t>
        </is>
      </c>
      <c r="O1069" t="inlineStr">
        <is>
          <t>improve</t>
        </is>
      </c>
      <c r="P1069" t="inlineStr">
        <is>
          <t>no EMDB values</t>
        </is>
      </c>
      <c r="Q1069" t="inlineStr"/>
      <c r="R1069" t="inlineStr"/>
      <c r="S1069" t="inlineStr"/>
    </row>
    <row r="1070">
      <c r="A1070" t="inlineStr">
        <is>
          <t>EMD-41173</t>
        </is>
      </c>
      <c r="B1070" t="inlineStr">
        <is>
          <t>microtubule</t>
        </is>
      </c>
      <c r="C1070" t="n">
        <v>4</v>
      </c>
      <c r="D1070" t="n">
        <v>82</v>
      </c>
      <c r="E1070" t="n">
        <v>0</v>
      </c>
      <c r="F1070" t="inlineStr">
        <is>
          <t>C1</t>
        </is>
      </c>
      <c r="G1070" t="inlineStr"/>
      <c r="H1070" t="inlineStr"/>
      <c r="I1070" t="inlineStr">
        <is>
          <t>C1</t>
        </is>
      </c>
      <c r="J1070" t="inlineStr"/>
      <c r="K1070" t="inlineStr"/>
      <c r="L1070" t="inlineStr"/>
      <c r="M1070" t="inlineStr"/>
      <c r="N1070" t="inlineStr">
        <is>
          <t>No</t>
        </is>
      </c>
      <c r="O1070" t="inlineStr"/>
      <c r="P1070" t="inlineStr">
        <is>
          <t>single unit</t>
        </is>
      </c>
      <c r="Q1070" t="inlineStr"/>
      <c r="R1070" t="inlineStr"/>
      <c r="S1070">
        <f>HYPERLINK("https://helical-indexing-hi3d.streamlit.app/?emd_id=emd-41173&amp;rise=nan&amp;twist=nan&amp;csym=1&amp;rise2=82.0&amp;twist2=0.0&amp;csym2=1", "Link")</f>
        <v/>
      </c>
    </row>
    <row r="1071">
      <c r="A1071" t="inlineStr">
        <is>
          <t>EMD-12918</t>
        </is>
      </c>
      <c r="B1071" t="inlineStr">
        <is>
          <t>non-amyloid</t>
        </is>
      </c>
      <c r="C1071" t="n">
        <v>4</v>
      </c>
      <c r="D1071" t="n">
        <v>5</v>
      </c>
      <c r="E1071" t="n">
        <v>28.5</v>
      </c>
      <c r="F1071" t="inlineStr">
        <is>
          <t>C1</t>
        </is>
      </c>
      <c r="G1071" t="inlineStr">
        <is>
          <t>5.010515581</t>
        </is>
      </c>
      <c r="H1071" t="n">
        <v>-28.40985197</v>
      </c>
      <c r="I1071" t="inlineStr">
        <is>
          <t>C1</t>
        </is>
      </c>
      <c r="J1071" t="n">
        <v>25.16076029797105</v>
      </c>
      <c r="K1071" t="inlineStr">
        <is>
          <t> </t>
        </is>
      </c>
      <c r="L1071" t="n">
        <v>0.14382</v>
      </c>
      <c r="M1071" t="n">
        <v>0.766976725</v>
      </c>
      <c r="N1071" t="inlineStr">
        <is>
          <t>Yes</t>
        </is>
      </c>
      <c r="O1071" t="inlineStr">
        <is>
          <t>improve</t>
        </is>
      </c>
      <c r="P1071" t="inlineStr">
        <is>
          <t>twist sign</t>
        </is>
      </c>
      <c r="Q1071" t="inlineStr"/>
      <c r="R1071" t="inlineStr"/>
      <c r="S1071">
        <f>HYPERLINK("https://helical-indexing-hi3d.streamlit.app/?emd_id=emd-12918&amp;rise=5.010515581&amp;twist=-28.40985197&amp;csym=1&amp;rise2=5.0&amp;twist2=28.5&amp;csym2=1", "Link")</f>
        <v/>
      </c>
    </row>
    <row r="1072">
      <c r="A1072" t="inlineStr">
        <is>
          <t>EMD-2833</t>
        </is>
      </c>
      <c r="B1072" t="inlineStr">
        <is>
          <t>non-amyloid</t>
        </is>
      </c>
      <c r="C1072" t="n">
        <v>4</v>
      </c>
      <c r="D1072" t="n">
        <v>1.408</v>
      </c>
      <c r="E1072" t="n">
        <v>22.03</v>
      </c>
      <c r="F1072" t="inlineStr">
        <is>
          <t>C1</t>
        </is>
      </c>
      <c r="G1072" t="inlineStr">
        <is>
          <t>1.408</t>
        </is>
      </c>
      <c r="H1072" t="n">
        <v>22.03</v>
      </c>
      <c r="I1072" t="inlineStr">
        <is>
          <t>C1</t>
        </is>
      </c>
      <c r="J1072" t="n">
        <v>0</v>
      </c>
      <c r="K1072" t="inlineStr"/>
      <c r="L1072" t="n">
        <v>0.99625</v>
      </c>
      <c r="M1072" t="n">
        <v>0.99625</v>
      </c>
      <c r="N1072" t="inlineStr">
        <is>
          <t>Yes</t>
        </is>
      </c>
      <c r="O1072" t="inlineStr">
        <is>
          <t>equal</t>
        </is>
      </c>
      <c r="P1072" t="inlineStr">
        <is>
          <t>deposited</t>
        </is>
      </c>
      <c r="Q1072" t="inlineStr"/>
      <c r="R1072" t="inlineStr"/>
      <c r="S1072">
        <f>HYPERLINK("https://helical-indexing-hi3d.streamlit.app/?emd_id=emd-2833&amp;rise=1.408&amp;twist=22.03&amp;csym=1&amp;rise2=1.408&amp;twist2=22.03&amp;csym2=1", "Link")</f>
        <v/>
      </c>
    </row>
    <row r="1073">
      <c r="A1073" t="inlineStr">
        <is>
          <t>EMD-26474</t>
        </is>
      </c>
      <c r="B1073" t="inlineStr">
        <is>
          <t>non-amyloid</t>
        </is>
      </c>
      <c r="C1073" t="n">
        <v>4</v>
      </c>
      <c r="D1073" t="n">
        <v>32.785</v>
      </c>
      <c r="E1073" t="n">
        <v>-77.404</v>
      </c>
      <c r="F1073" t="inlineStr">
        <is>
          <t>C1</t>
        </is>
      </c>
      <c r="G1073" t="inlineStr">
        <is>
          <t>32.785</t>
        </is>
      </c>
      <c r="H1073" t="n">
        <v>-77.404</v>
      </c>
      <c r="I1073" t="inlineStr">
        <is>
          <t>C1</t>
        </is>
      </c>
      <c r="J1073" t="n">
        <v>0</v>
      </c>
      <c r="K1073" t="inlineStr"/>
      <c r="L1073" t="n">
        <v>0.944840775</v>
      </c>
      <c r="M1073" t="n">
        <v>0.944840775</v>
      </c>
      <c r="N1073" t="inlineStr">
        <is>
          <t>Yes</t>
        </is>
      </c>
      <c r="O1073" t="inlineStr">
        <is>
          <t>equal</t>
        </is>
      </c>
      <c r="P1073" t="inlineStr">
        <is>
          <t>deposited</t>
        </is>
      </c>
      <c r="Q1073" t="inlineStr"/>
      <c r="R1073" t="inlineStr"/>
      <c r="S1073">
        <f>HYPERLINK("https://helical-indexing-hi3d.streamlit.app/?emd_id=emd-26474&amp;rise=32.785&amp;twist=-77.404&amp;csym=1&amp;rise2=32.785&amp;twist2=-77.404&amp;csym2=1", "Link")</f>
        <v/>
      </c>
    </row>
    <row r="1074">
      <c r="A1074" t="inlineStr">
        <is>
          <t>EMD-25119</t>
        </is>
      </c>
      <c r="B1074" t="inlineStr">
        <is>
          <t>microtubule</t>
        </is>
      </c>
      <c r="C1074" t="n">
        <v>4</v>
      </c>
      <c r="D1074" t="n">
        <v>9.483000000000001</v>
      </c>
      <c r="E1074" t="n">
        <v>-27.667</v>
      </c>
      <c r="F1074" t="inlineStr">
        <is>
          <t>C1</t>
        </is>
      </c>
      <c r="G1074" t="inlineStr">
        <is>
          <t>9.483</t>
        </is>
      </c>
      <c r="H1074" t="n">
        <v>-27.667</v>
      </c>
      <c r="I1074" t="inlineStr">
        <is>
          <t>C1</t>
        </is>
      </c>
      <c r="J1074" t="n">
        <v>0</v>
      </c>
      <c r="K1074" t="inlineStr"/>
      <c r="L1074" t="n">
        <v>0.7881083250000001</v>
      </c>
      <c r="M1074" t="n">
        <v>0.7881083250000001</v>
      </c>
      <c r="N1074" t="inlineStr">
        <is>
          <t>Yes</t>
        </is>
      </c>
      <c r="O1074" t="inlineStr">
        <is>
          <t>equal</t>
        </is>
      </c>
      <c r="P1074" t="inlineStr">
        <is>
          <t>deposited</t>
        </is>
      </c>
      <c r="Q1074" t="inlineStr"/>
      <c r="R1074" t="inlineStr"/>
      <c r="S1074">
        <f>HYPERLINK("https://helical-indexing-hi3d.streamlit.app/?emd_id=emd-25119&amp;rise=9.483&amp;twist=-27.667&amp;csym=1&amp;rise2=9.483&amp;twist2=-27.667&amp;csym2=1", "Link")</f>
        <v/>
      </c>
    </row>
    <row r="1075">
      <c r="A1075" t="inlineStr">
        <is>
          <t>EMD-0383</t>
        </is>
      </c>
      <c r="B1075" t="inlineStr">
        <is>
          <t>non-amyloid</t>
        </is>
      </c>
      <c r="C1075" t="n">
        <v>4</v>
      </c>
      <c r="D1075" t="n">
        <v>8.83</v>
      </c>
      <c r="E1075" t="n">
        <v>-17.5</v>
      </c>
      <c r="F1075" t="inlineStr">
        <is>
          <t>D2</t>
        </is>
      </c>
      <c r="G1075" t="inlineStr"/>
      <c r="H1075" t="inlineStr"/>
      <c r="I1075" t="inlineStr">
        <is>
          <t>CD2</t>
        </is>
      </c>
      <c r="J1075" t="inlineStr"/>
      <c r="K1075" t="inlineStr"/>
      <c r="L1075" t="n">
        <v>0.04198</v>
      </c>
      <c r="M1075" t="n">
        <v>0.059776533</v>
      </c>
      <c r="N1075" t="inlineStr">
        <is>
          <t>Excluded</t>
        </is>
      </c>
      <c r="O1075" t="inlineStr">
        <is>
          <t>improve</t>
        </is>
      </c>
      <c r="P1075" t="inlineStr">
        <is>
          <t>partial map</t>
        </is>
      </c>
      <c r="Q1075" t="inlineStr"/>
      <c r="R1075" t="inlineStr"/>
      <c r="S1075">
        <f>HYPERLINK("https://helical-indexing-hi3d.streamlit.app/?emd_id=emd-0383&amp;rise=nan&amp;twist=nan&amp;csym=D2&amp;rise2=8.83&amp;twist2=-17.5&amp;csym2=2", "Link")</f>
        <v/>
      </c>
    </row>
    <row r="1076">
      <c r="A1076" t="inlineStr">
        <is>
          <t>EMD-10792</t>
        </is>
      </c>
      <c r="B1076" t="inlineStr">
        <is>
          <t>non-amyloid</t>
        </is>
      </c>
      <c r="C1076" t="n">
        <v>4</v>
      </c>
      <c r="D1076" t="n">
        <v>38.46</v>
      </c>
      <c r="E1076" t="n">
        <v>21.89</v>
      </c>
      <c r="F1076" t="inlineStr">
        <is>
          <t>C6</t>
        </is>
      </c>
      <c r="G1076" t="inlineStr">
        <is>
          <t>38.46</t>
        </is>
      </c>
      <c r="H1076" t="n">
        <v>21.89</v>
      </c>
      <c r="I1076" t="inlineStr">
        <is>
          <t>C6</t>
        </is>
      </c>
      <c r="J1076" t="n">
        <v>0</v>
      </c>
      <c r="K1076" t="inlineStr"/>
      <c r="L1076" t="n">
        <v>0.94695</v>
      </c>
      <c r="M1076" t="n">
        <v>0.94695</v>
      </c>
      <c r="N1076" t="inlineStr">
        <is>
          <t>Yes</t>
        </is>
      </c>
      <c r="O1076" t="inlineStr">
        <is>
          <t>equal</t>
        </is>
      </c>
      <c r="P1076" t="inlineStr">
        <is>
          <t>deposited</t>
        </is>
      </c>
      <c r="Q1076" t="inlineStr"/>
      <c r="R1076" t="inlineStr"/>
      <c r="S1076">
        <f>HYPERLINK("https://helical-indexing-hi3d.streamlit.app/?emd_id=emd-10792&amp;rise=38.46&amp;twist=21.89&amp;csym=6&amp;rise2=38.46&amp;twist2=21.89&amp;csym2=6", "Link")</f>
        <v/>
      </c>
    </row>
    <row r="1077">
      <c r="A1077" t="inlineStr">
        <is>
          <t>EMD-12258</t>
        </is>
      </c>
      <c r="B1077" t="inlineStr">
        <is>
          <t>microtubule</t>
        </is>
      </c>
      <c r="C1077" t="n">
        <v>4</v>
      </c>
      <c r="D1077" t="n">
        <v>9</v>
      </c>
      <c r="E1077" t="n">
        <v>-25.75</v>
      </c>
      <c r="F1077" t="inlineStr">
        <is>
          <t>C1</t>
        </is>
      </c>
      <c r="G1077" t="inlineStr"/>
      <c r="H1077" t="inlineStr"/>
      <c r="I1077" t="inlineStr">
        <is>
          <t>C1</t>
        </is>
      </c>
      <c r="J1077" t="inlineStr"/>
      <c r="K1077" t="inlineStr"/>
      <c r="L1077" t="inlineStr"/>
      <c r="M1077" t="inlineStr"/>
      <c r="N1077" t="inlineStr">
        <is>
          <t>No</t>
        </is>
      </c>
      <c r="O1077" t="inlineStr"/>
      <c r="P1077" t="inlineStr">
        <is>
          <t>single unit</t>
        </is>
      </c>
      <c r="Q1077" t="inlineStr"/>
      <c r="R1077" t="inlineStr"/>
      <c r="S1077">
        <f>HYPERLINK("https://helical-indexing-hi3d.streamlit.app/?emd_id=emd-12258&amp;rise=nan&amp;twist=nan&amp;csym=1&amp;rise2=9.0&amp;twist2=-25.75&amp;csym2=1", "Link")</f>
        <v/>
      </c>
    </row>
    <row r="1078">
      <c r="A1078" t="inlineStr">
        <is>
          <t>EMD-0614</t>
        </is>
      </c>
      <c r="B1078" t="inlineStr">
        <is>
          <t>microtubule</t>
        </is>
      </c>
      <c r="C1078" t="n">
        <v>4</v>
      </c>
      <c r="D1078" t="n">
        <v>9.300000000000001</v>
      </c>
      <c r="E1078" t="n">
        <v>-27.7</v>
      </c>
      <c r="F1078" t="inlineStr">
        <is>
          <t>C1</t>
        </is>
      </c>
      <c r="G1078" t="inlineStr">
        <is>
          <t>3.08</t>
        </is>
      </c>
      <c r="H1078" t="n">
        <v>110.77</v>
      </c>
      <c r="I1078" t="inlineStr">
        <is>
          <t>C1</t>
        </is>
      </c>
      <c r="J1078" t="n">
        <v>98.08010180510604</v>
      </c>
      <c r="K1078" t="inlineStr">
        <is>
          <t>z -&gt; x</t>
        </is>
      </c>
      <c r="L1078" t="n">
        <v>0.671131004</v>
      </c>
      <c r="M1078" t="n">
        <v>0.68667371</v>
      </c>
      <c r="N1078" t="inlineStr">
        <is>
          <t>No</t>
        </is>
      </c>
      <c r="O1078" t="inlineStr">
        <is>
          <t>improve</t>
        </is>
      </c>
      <c r="P1078" t="inlineStr">
        <is>
          <t>different</t>
        </is>
      </c>
      <c r="Q1078" t="inlineStr">
        <is>
          <t>partial symmetry</t>
        </is>
      </c>
      <c r="R1078" t="inlineStr"/>
      <c r="S1078">
        <f>HYPERLINK("https://helical-indexing-hi3d.streamlit.app/?emd_id=emd-0614&amp;rise=3.08&amp;twist=110.77&amp;csym=1&amp;rise2=9.3&amp;twist2=-27.7&amp;csym2=1", "Link")</f>
        <v/>
      </c>
    </row>
    <row r="1079">
      <c r="A1079" t="inlineStr">
        <is>
          <t>EMD-10502</t>
        </is>
      </c>
      <c r="B1079" t="inlineStr">
        <is>
          <t>non-amyloid</t>
        </is>
      </c>
      <c r="C1079" t="n">
        <v>4</v>
      </c>
      <c r="D1079" t="n">
        <v>9.779999999999999</v>
      </c>
      <c r="E1079" t="n">
        <v>-26.48</v>
      </c>
      <c r="F1079" t="inlineStr">
        <is>
          <t>C1</t>
        </is>
      </c>
      <c r="G1079" t="inlineStr">
        <is>
          <t>9.756951373</t>
        </is>
      </c>
      <c r="H1079" t="n">
        <v>-26.4867747</v>
      </c>
      <c r="I1079" t="inlineStr">
        <is>
          <t>C1</t>
        </is>
      </c>
      <c r="J1079" t="n">
        <v>0.0231859427484771</v>
      </c>
      <c r="K1079" t="inlineStr"/>
      <c r="L1079" t="n">
        <v>0.9595</v>
      </c>
      <c r="M1079" t="n">
        <v>0.960186697</v>
      </c>
      <c r="N1079" t="inlineStr">
        <is>
          <t>Yes</t>
        </is>
      </c>
      <c r="O1079" t="inlineStr">
        <is>
          <t>improve</t>
        </is>
      </c>
      <c r="P1079" t="inlineStr">
        <is>
          <t>adjusted decimals</t>
        </is>
      </c>
      <c r="Q1079" t="inlineStr"/>
      <c r="R1079" t="inlineStr"/>
      <c r="S1079">
        <f>HYPERLINK("https://helical-indexing-hi3d.streamlit.app/?emd_id=emd-10502&amp;rise=9.756951373&amp;twist=-26.4867747&amp;csym=1&amp;rise2=9.78&amp;twist2=-26.48&amp;csym2=1", "Link")</f>
        <v/>
      </c>
    </row>
    <row r="1080">
      <c r="A1080" t="inlineStr">
        <is>
          <t>EMD-0143</t>
        </is>
      </c>
      <c r="B1080" t="inlineStr">
        <is>
          <t>non-amyloid</t>
        </is>
      </c>
      <c r="C1080" t="n">
        <v>4.02</v>
      </c>
      <c r="D1080" t="n">
        <v>44.2416</v>
      </c>
      <c r="E1080" t="n">
        <v>89</v>
      </c>
      <c r="F1080" t="inlineStr">
        <is>
          <t>C1</t>
        </is>
      </c>
      <c r="G1080" t="inlineStr">
        <is>
          <t>44.2416</t>
        </is>
      </c>
      <c r="H1080" t="n">
        <v>89</v>
      </c>
      <c r="I1080" t="inlineStr">
        <is>
          <t>C1</t>
        </is>
      </c>
      <c r="J1080" t="n">
        <v>0</v>
      </c>
      <c r="K1080" t="inlineStr"/>
      <c r="L1080" t="n">
        <v>0.9184099999999999</v>
      </c>
      <c r="M1080" t="n">
        <v>0.9184099999999999</v>
      </c>
      <c r="N1080" t="inlineStr">
        <is>
          <t>Yes</t>
        </is>
      </c>
      <c r="O1080" t="inlineStr">
        <is>
          <t>equal</t>
        </is>
      </c>
      <c r="P1080" t="inlineStr">
        <is>
          <t>deposited</t>
        </is>
      </c>
      <c r="Q1080" t="inlineStr"/>
      <c r="R1080" t="inlineStr"/>
      <c r="S1080">
        <f>HYPERLINK("https://helical-indexing-hi3d.streamlit.app/?emd_id=emd-0143&amp;rise=44.2416&amp;twist=89.0&amp;csym=1&amp;rise2=44.2416&amp;twist2=89.0&amp;csym2=1", "Link")</f>
        <v/>
      </c>
    </row>
    <row r="1081">
      <c r="A1081" t="inlineStr">
        <is>
          <t>EMD-23637</t>
        </is>
      </c>
      <c r="B1081" t="inlineStr">
        <is>
          <t>non-amyloid</t>
        </is>
      </c>
      <c r="C1081" t="n">
        <v>4.03</v>
      </c>
      <c r="D1081" t="n">
        <v>0.01</v>
      </c>
      <c r="E1081" t="n">
        <v>0</v>
      </c>
      <c r="F1081" t="inlineStr">
        <is>
          <t>C1</t>
        </is>
      </c>
      <c r="G1081" t="inlineStr"/>
      <c r="H1081" t="inlineStr"/>
      <c r="I1081" t="inlineStr">
        <is>
          <t>C1</t>
        </is>
      </c>
      <c r="J1081" t="inlineStr"/>
      <c r="K1081" t="inlineStr"/>
      <c r="L1081" t="inlineStr"/>
      <c r="M1081" t="inlineStr"/>
      <c r="N1081" t="inlineStr">
        <is>
          <t>Excluded</t>
        </is>
      </c>
      <c r="O1081" t="inlineStr">
        <is>
          <t>equal</t>
        </is>
      </c>
      <c r="P1081" t="inlineStr">
        <is>
          <t>focus reconstruction</t>
        </is>
      </c>
      <c r="Q1081" t="inlineStr"/>
      <c r="R1081" t="inlineStr"/>
      <c r="S1081">
        <f>HYPERLINK("https://helical-indexing-hi3d.streamlit.app/?emd_id=emd-23637&amp;rise=nan&amp;twist=nan&amp;csym=1&amp;rise2=0.01&amp;twist2=0.0&amp;csym2=1", "Link")</f>
        <v/>
      </c>
    </row>
    <row r="1082">
      <c r="A1082" t="inlineStr">
        <is>
          <t>EMD-0012</t>
        </is>
      </c>
      <c r="B1082" t="inlineStr">
        <is>
          <t>non-amyloid</t>
        </is>
      </c>
      <c r="C1082" t="n">
        <v>4.06</v>
      </c>
      <c r="D1082" t="n">
        <v>43.1057</v>
      </c>
      <c r="E1082" t="n">
        <v>76.77589999999999</v>
      </c>
      <c r="F1082" t="inlineStr">
        <is>
          <t>C1</t>
        </is>
      </c>
      <c r="G1082" t="inlineStr">
        <is>
          <t>43.03792423</t>
        </is>
      </c>
      <c r="H1082" t="n">
        <v>76.74631004</v>
      </c>
      <c r="I1082" t="inlineStr">
        <is>
          <t>C1</t>
        </is>
      </c>
      <c r="J1082" t="n">
        <v>0.068215866</v>
      </c>
      <c r="K1082" t="inlineStr"/>
      <c r="L1082" t="n">
        <v>0.91246</v>
      </c>
      <c r="M1082" t="n">
        <v>0.912462154</v>
      </c>
      <c r="N1082" t="inlineStr">
        <is>
          <t>Yes</t>
        </is>
      </c>
      <c r="O1082" t="inlineStr">
        <is>
          <t>improve</t>
        </is>
      </c>
      <c r="P1082" t="inlineStr">
        <is>
          <t>adjusted decimals</t>
        </is>
      </c>
      <c r="Q1082" t="inlineStr"/>
      <c r="R1082" t="inlineStr"/>
      <c r="S1082">
        <f>HYPERLINK("https://helical-indexing-hi3d.streamlit.app/?emd_id=emd-0012&amp;rise=43.03792423&amp;twist=76.74631004&amp;csym=1&amp;rise2=43.1057&amp;twist2=76.7759&amp;csym2=1", "Link")</f>
        <v/>
      </c>
    </row>
    <row r="1083">
      <c r="A1083" t="inlineStr">
        <is>
          <t>EMD-0023</t>
        </is>
      </c>
      <c r="B1083" t="inlineStr">
        <is>
          <t>non-amyloid</t>
        </is>
      </c>
      <c r="C1083" t="n">
        <v>4.06</v>
      </c>
      <c r="D1083" t="n">
        <v>46.5105</v>
      </c>
      <c r="E1083" t="n">
        <v>87.83150000000001</v>
      </c>
      <c r="F1083" t="inlineStr">
        <is>
          <t>C1</t>
        </is>
      </c>
      <c r="G1083" t="inlineStr">
        <is>
          <t>46.5105</t>
        </is>
      </c>
      <c r="H1083" t="n">
        <v>87.83150000000001</v>
      </c>
      <c r="I1083" t="inlineStr">
        <is>
          <t>C1</t>
        </is>
      </c>
      <c r="J1083" t="n">
        <v>0</v>
      </c>
      <c r="K1083" t="inlineStr"/>
      <c r="L1083" t="n">
        <v>0.93433</v>
      </c>
      <c r="M1083" t="n">
        <v>0.93433</v>
      </c>
      <c r="N1083" t="inlineStr">
        <is>
          <t>Yes</t>
        </is>
      </c>
      <c r="O1083" t="inlineStr">
        <is>
          <t>equal</t>
        </is>
      </c>
      <c r="P1083" t="inlineStr">
        <is>
          <t>deposited</t>
        </is>
      </c>
      <c r="Q1083" t="inlineStr"/>
      <c r="R1083" t="inlineStr"/>
      <c r="S1083">
        <f>HYPERLINK("https://helical-indexing-hi3d.streamlit.app/?emd_id=emd-0023&amp;rise=46.5105&amp;twist=87.8315&amp;csym=1&amp;rise2=46.5105&amp;twist2=87.8315&amp;csym2=1", "Link")</f>
        <v/>
      </c>
    </row>
    <row r="1084">
      <c r="A1084" t="inlineStr">
        <is>
          <t>EMD-6595</t>
        </is>
      </c>
      <c r="B1084" t="inlineStr">
        <is>
          <t>microtubule</t>
        </is>
      </c>
      <c r="C1084" t="n">
        <v>4.06</v>
      </c>
      <c r="D1084" t="n">
        <v>11.092</v>
      </c>
      <c r="E1084" t="n">
        <v>23.825</v>
      </c>
      <c r="F1084" t="inlineStr">
        <is>
          <t>C15</t>
        </is>
      </c>
      <c r="G1084" t="inlineStr"/>
      <c r="H1084" t="inlineStr"/>
      <c r="I1084" t="inlineStr">
        <is>
          <t>C1</t>
        </is>
      </c>
      <c r="J1084" t="inlineStr"/>
      <c r="K1084" t="inlineStr"/>
      <c r="L1084" t="inlineStr"/>
      <c r="M1084" t="inlineStr"/>
      <c r="N1084" t="inlineStr">
        <is>
          <t>No</t>
        </is>
      </c>
      <c r="O1084" t="inlineStr"/>
      <c r="P1084" t="inlineStr">
        <is>
          <t>single unit</t>
        </is>
      </c>
      <c r="Q1084" t="inlineStr"/>
      <c r="R1084" t="inlineStr"/>
      <c r="S1084">
        <f>HYPERLINK("https://helical-indexing-hi3d.streamlit.app/?emd_id=emd-6595&amp;rise=nan&amp;twist=nan&amp;csym=1&amp;rise2=11.092&amp;twist2=23.825&amp;csym2=15", "Link")</f>
        <v/>
      </c>
    </row>
    <row r="1085">
      <c r="A1085" t="inlineStr">
        <is>
          <t>EMD-30066</t>
        </is>
      </c>
      <c r="B1085" t="inlineStr">
        <is>
          <t>non-amyloid</t>
        </is>
      </c>
      <c r="C1085" t="n">
        <v>4.09</v>
      </c>
      <c r="D1085" t="n">
        <v>4.14</v>
      </c>
      <c r="E1085" t="n">
        <v>-27.51</v>
      </c>
      <c r="F1085" t="inlineStr">
        <is>
          <t>C1</t>
        </is>
      </c>
      <c r="G1085" t="inlineStr">
        <is>
          <t>4.114102115</t>
        </is>
      </c>
      <c r="H1085" t="n">
        <v>-27.5178621</v>
      </c>
      <c r="I1085" t="inlineStr">
        <is>
          <t>C1</t>
        </is>
      </c>
      <c r="J1085" t="n">
        <v>0.0279892816722233</v>
      </c>
      <c r="K1085" t="inlineStr"/>
      <c r="L1085" t="n">
        <v>0.751129245</v>
      </c>
      <c r="M1085" t="n">
        <v>0.754480616</v>
      </c>
      <c r="N1085" t="inlineStr">
        <is>
          <t>Yes</t>
        </is>
      </c>
      <c r="O1085" t="inlineStr">
        <is>
          <t>improve</t>
        </is>
      </c>
      <c r="P1085" t="inlineStr">
        <is>
          <t>adjusted decimals</t>
        </is>
      </c>
      <c r="Q1085" t="inlineStr"/>
      <c r="R1085" t="inlineStr"/>
      <c r="S1085">
        <f>HYPERLINK("https://helical-indexing-hi3d.streamlit.app/?emd_id=emd-30066&amp;rise=4.114102115&amp;twist=-27.5178621&amp;csym=1&amp;rise2=4.14&amp;twist2=-27.51&amp;csym2=1", "Link")</f>
        <v/>
      </c>
    </row>
    <row r="1086">
      <c r="A1086" t="inlineStr">
        <is>
          <t>EMD-24588</t>
        </is>
      </c>
      <c r="B1086" t="inlineStr">
        <is>
          <t>non-amyloid</t>
        </is>
      </c>
      <c r="C1086" t="n">
        <v>4.1</v>
      </c>
      <c r="D1086" t="n">
        <v>0.68</v>
      </c>
      <c r="E1086" t="n">
        <v>-104.1</v>
      </c>
      <c r="F1086" t="inlineStr">
        <is>
          <t>C1</t>
        </is>
      </c>
      <c r="G1086" t="inlineStr">
        <is>
          <t>0.68</t>
        </is>
      </c>
      <c r="H1086" t="n">
        <v>-104.1</v>
      </c>
      <c r="I1086" t="inlineStr">
        <is>
          <t>C1</t>
        </is>
      </c>
      <c r="J1086" t="n">
        <v>0</v>
      </c>
      <c r="K1086" t="inlineStr"/>
      <c r="L1086" t="n">
        <v>0.863988979</v>
      </c>
      <c r="M1086" t="n">
        <v>0.863988979</v>
      </c>
      <c r="N1086" t="inlineStr">
        <is>
          <t>Yes</t>
        </is>
      </c>
      <c r="O1086" t="inlineStr">
        <is>
          <t>equal</t>
        </is>
      </c>
      <c r="P1086" t="inlineStr">
        <is>
          <t>deposited</t>
        </is>
      </c>
      <c r="Q1086" t="inlineStr"/>
      <c r="R1086" t="inlineStr"/>
      <c r="S1086">
        <f>HYPERLINK("https://helical-indexing-hi3d.streamlit.app/?emd_id=emd-24588&amp;rise=0.68&amp;twist=-104.1&amp;csym=1&amp;rise2=0.68&amp;twist2=-104.1&amp;csym2=1", "Link")</f>
        <v/>
      </c>
    </row>
    <row r="1087">
      <c r="A1087" t="inlineStr">
        <is>
          <t>EMD-7977</t>
        </is>
      </c>
      <c r="B1087" t="inlineStr">
        <is>
          <t>microtubule</t>
        </is>
      </c>
      <c r="C1087" t="n">
        <v>4.1</v>
      </c>
      <c r="D1087" t="n">
        <v>8.805</v>
      </c>
      <c r="E1087" t="n">
        <v>-25.787</v>
      </c>
      <c r="F1087" t="inlineStr">
        <is>
          <t>C1</t>
        </is>
      </c>
      <c r="G1087" t="inlineStr">
        <is>
          <t>82.25</t>
        </is>
      </c>
      <c r="H1087" t="n">
        <v>-0.6899999999999999</v>
      </c>
      <c r="I1087" t="inlineStr">
        <is>
          <t>C1</t>
        </is>
      </c>
      <c r="J1087" t="n">
        <v>73.73105702892136</v>
      </c>
      <c r="K1087" t="inlineStr"/>
      <c r="L1087" t="n">
        <v>0.677701989</v>
      </c>
      <c r="M1087" t="n">
        <v>0.756357618</v>
      </c>
      <c r="N1087" t="inlineStr">
        <is>
          <t>No</t>
        </is>
      </c>
      <c r="O1087" t="inlineStr">
        <is>
          <t>improve</t>
        </is>
      </c>
      <c r="P1087" t="inlineStr">
        <is>
          <t>different</t>
        </is>
      </c>
      <c r="Q1087" t="inlineStr"/>
      <c r="R1087" t="inlineStr"/>
      <c r="S1087">
        <f>HYPERLINK("https://helical-indexing-hi3d.streamlit.app/?emd_id=emd-7977&amp;rise=82.25&amp;twist=-0.69&amp;csym=1&amp;rise2=8.805&amp;twist2=-25.787&amp;csym2=1", "Link")</f>
        <v/>
      </c>
    </row>
    <row r="1088">
      <c r="A1088" t="inlineStr">
        <is>
          <t>EMD-3414</t>
        </is>
      </c>
      <c r="B1088" t="inlineStr">
        <is>
          <t>non-amyloid</t>
        </is>
      </c>
      <c r="C1088" t="n">
        <v>4.1</v>
      </c>
      <c r="D1088" t="n">
        <v>42.6</v>
      </c>
      <c r="E1088" t="n">
        <v>8.699999999999999</v>
      </c>
      <c r="F1088" t="inlineStr">
        <is>
          <t>D6</t>
        </is>
      </c>
      <c r="G1088" t="inlineStr">
        <is>
          <t>42.6</t>
        </is>
      </c>
      <c r="H1088" t="n">
        <v>8.699999999999999</v>
      </c>
      <c r="I1088" t="inlineStr">
        <is>
          <t>CD6</t>
        </is>
      </c>
      <c r="J1088" t="n">
        <v>0</v>
      </c>
      <c r="K1088" t="inlineStr"/>
      <c r="L1088" t="n">
        <v>0.99591</v>
      </c>
      <c r="M1088" t="n">
        <v>0.99591</v>
      </c>
      <c r="N1088" t="inlineStr">
        <is>
          <t>Yes</t>
        </is>
      </c>
      <c r="O1088" t="inlineStr">
        <is>
          <t>equal</t>
        </is>
      </c>
      <c r="P1088" t="inlineStr">
        <is>
          <t>deposited</t>
        </is>
      </c>
      <c r="Q1088" t="inlineStr"/>
      <c r="R1088" t="inlineStr"/>
      <c r="S1088">
        <f>HYPERLINK("https://helical-indexing-hi3d.streamlit.app/?emd_id=emd-3414&amp;rise=42.6&amp;twist=8.7&amp;csym=D6&amp;rise2=42.6&amp;twist2=8.7&amp;csym2=6", "Link")</f>
        <v/>
      </c>
    </row>
    <row r="1089">
      <c r="A1089" t="inlineStr">
        <is>
          <t>EMD-21817</t>
        </is>
      </c>
      <c r="B1089" t="inlineStr">
        <is>
          <t>non-amyloid</t>
        </is>
      </c>
      <c r="C1089" t="n">
        <v>4.1</v>
      </c>
      <c r="D1089" t="n">
        <v>1.93</v>
      </c>
      <c r="E1089" t="n">
        <v>124.36</v>
      </c>
      <c r="F1089" t="inlineStr">
        <is>
          <t>C1</t>
        </is>
      </c>
      <c r="G1089" t="inlineStr">
        <is>
          <t>1.93</t>
        </is>
      </c>
      <c r="H1089" t="n">
        <v>124.36</v>
      </c>
      <c r="I1089" t="inlineStr">
        <is>
          <t>C1</t>
        </is>
      </c>
      <c r="J1089" t="n">
        <v>0</v>
      </c>
      <c r="K1089" t="inlineStr"/>
      <c r="L1089" t="n">
        <v>0.99792</v>
      </c>
      <c r="M1089" t="n">
        <v>0.99792</v>
      </c>
      <c r="N1089" t="inlineStr">
        <is>
          <t>Yes</t>
        </is>
      </c>
      <c r="O1089" t="inlineStr">
        <is>
          <t>equal</t>
        </is>
      </c>
      <c r="P1089" t="inlineStr">
        <is>
          <t>deposited</t>
        </is>
      </c>
      <c r="Q1089" t="inlineStr"/>
      <c r="R1089" t="inlineStr"/>
      <c r="S1089">
        <f>HYPERLINK("https://helical-indexing-hi3d.streamlit.app/?emd_id=emd-21817&amp;rise=1.93&amp;twist=124.36&amp;csym=1&amp;rise2=1.93&amp;twist2=124.36&amp;csym2=1", "Link")</f>
        <v/>
      </c>
    </row>
    <row r="1090">
      <c r="A1090" t="inlineStr">
        <is>
          <t>EMD-28708</t>
        </is>
      </c>
      <c r="B1090" t="inlineStr">
        <is>
          <t>non-amyloid</t>
        </is>
      </c>
      <c r="C1090" t="n">
        <v>4.1</v>
      </c>
      <c r="D1090" t="n">
        <v>3.14</v>
      </c>
      <c r="E1090" t="n">
        <v>-20.82</v>
      </c>
      <c r="F1090" t="inlineStr">
        <is>
          <t>C1</t>
        </is>
      </c>
      <c r="G1090" t="inlineStr">
        <is>
          <t>3.136954751</t>
        </is>
      </c>
      <c r="H1090" t="n">
        <v>-20.83505683</v>
      </c>
      <c r="I1090" t="inlineStr">
        <is>
          <t>C1</t>
        </is>
      </c>
      <c r="J1090" t="n">
        <v>0.0143139815792566</v>
      </c>
      <c r="K1090" t="inlineStr"/>
      <c r="L1090" t="n">
        <v>0.88188</v>
      </c>
      <c r="M1090" t="n">
        <v>0.884877581</v>
      </c>
      <c r="N1090" t="inlineStr">
        <is>
          <t>Yes</t>
        </is>
      </c>
      <c r="O1090" t="inlineStr">
        <is>
          <t>improve</t>
        </is>
      </c>
      <c r="P1090" t="inlineStr">
        <is>
          <t>adjusted decimals</t>
        </is>
      </c>
      <c r="Q1090" t="inlineStr"/>
      <c r="R1090" t="inlineStr"/>
      <c r="S1090">
        <f>HYPERLINK("https://helical-indexing-hi3d.streamlit.app/?emd_id=emd-28708&amp;rise=3.136954751&amp;twist=-20.83505683&amp;csym=1&amp;rise2=3.14&amp;twist2=-20.82&amp;csym2=1", "Link")</f>
        <v/>
      </c>
    </row>
    <row r="1091">
      <c r="A1091" t="inlineStr">
        <is>
          <t>EMD-0397</t>
        </is>
      </c>
      <c r="B1091" t="inlineStr">
        <is>
          <t>non-amyloid</t>
        </is>
      </c>
      <c r="C1091" t="n">
        <v>4.1</v>
      </c>
      <c r="D1091" t="n">
        <v>4.94</v>
      </c>
      <c r="E1091" t="n">
        <v>104.97</v>
      </c>
      <c r="F1091" t="inlineStr">
        <is>
          <t>C1</t>
        </is>
      </c>
      <c r="G1091" t="inlineStr">
        <is>
          <t>4.94</t>
        </is>
      </c>
      <c r="H1091" t="n">
        <v>104.97</v>
      </c>
      <c r="I1091" t="inlineStr">
        <is>
          <t>C1</t>
        </is>
      </c>
      <c r="J1091" t="n">
        <v>0</v>
      </c>
      <c r="K1091" t="inlineStr"/>
      <c r="L1091" t="n">
        <v>0.861029493</v>
      </c>
      <c r="M1091" t="n">
        <v>0.861029493</v>
      </c>
      <c r="N1091" t="inlineStr">
        <is>
          <t>Yes</t>
        </is>
      </c>
      <c r="O1091" t="inlineStr">
        <is>
          <t>equal</t>
        </is>
      </c>
      <c r="P1091" t="inlineStr">
        <is>
          <t>deposited</t>
        </is>
      </c>
      <c r="Q1091" t="inlineStr"/>
      <c r="R1091" t="inlineStr"/>
      <c r="S1091">
        <f>HYPERLINK("https://helical-indexing-hi3d.streamlit.app/?emd_id=emd-0397&amp;rise=4.94&amp;twist=104.97&amp;csym=1&amp;rise2=4.94&amp;twist2=104.97&amp;csym2=1", "Link")</f>
        <v/>
      </c>
    </row>
    <row r="1092">
      <c r="A1092" t="inlineStr">
        <is>
          <t>EMD-7522</t>
        </is>
      </c>
      <c r="B1092" t="inlineStr">
        <is>
          <t>microtubule</t>
        </is>
      </c>
      <c r="C1092" t="n">
        <v>4.1</v>
      </c>
      <c r="D1092" t="n">
        <v>8.630000000000001</v>
      </c>
      <c r="E1092" t="n">
        <v>-25.75</v>
      </c>
      <c r="F1092" t="inlineStr">
        <is>
          <t>C1</t>
        </is>
      </c>
      <c r="G1092" t="inlineStr">
        <is>
          <t>8.63</t>
        </is>
      </c>
      <c r="H1092" t="n">
        <v>-25.75</v>
      </c>
      <c r="I1092" t="inlineStr">
        <is>
          <t>C1</t>
        </is>
      </c>
      <c r="J1092" t="n">
        <v>0</v>
      </c>
      <c r="K1092" t="inlineStr"/>
      <c r="L1092" t="n">
        <v>0.935278536</v>
      </c>
      <c r="M1092" t="n">
        <v>0.935278536</v>
      </c>
      <c r="N1092" t="inlineStr">
        <is>
          <t>Yes</t>
        </is>
      </c>
      <c r="O1092" t="inlineStr">
        <is>
          <t>equal</t>
        </is>
      </c>
      <c r="P1092" t="inlineStr">
        <is>
          <t>deposited</t>
        </is>
      </c>
      <c r="Q1092" t="inlineStr"/>
      <c r="R1092" t="inlineStr"/>
      <c r="S1092">
        <f>HYPERLINK("https://helical-indexing-hi3d.streamlit.app/?emd_id=emd-7522&amp;rise=8.63&amp;twist=-25.75&amp;csym=1&amp;rise2=8.63&amp;twist2=-25.75&amp;csym2=1", "Link")</f>
        <v/>
      </c>
    </row>
    <row r="1093">
      <c r="A1093" t="inlineStr">
        <is>
          <t>EMD-25881</t>
        </is>
      </c>
      <c r="B1093" t="inlineStr">
        <is>
          <t>non-amyloid</t>
        </is>
      </c>
      <c r="C1093" t="n">
        <v>4.1</v>
      </c>
      <c r="D1093" t="n">
        <v>10.4</v>
      </c>
      <c r="E1093" t="n">
        <v>89.09999999999999</v>
      </c>
      <c r="F1093" t="inlineStr">
        <is>
          <t>C1</t>
        </is>
      </c>
      <c r="G1093" t="inlineStr">
        <is>
          <t>10.38691339</t>
        </is>
      </c>
      <c r="H1093" t="n">
        <v>89.07315835999999</v>
      </c>
      <c r="I1093" t="inlineStr">
        <is>
          <t>C1</t>
        </is>
      </c>
      <c r="J1093" t="n">
        <v>0.014911879983787</v>
      </c>
      <c r="K1093" t="inlineStr"/>
      <c r="L1093" t="n">
        <v>0.9632500000000001</v>
      </c>
      <c r="M1093" t="n">
        <v>0.964110081</v>
      </c>
      <c r="N1093" t="inlineStr">
        <is>
          <t>Yes</t>
        </is>
      </c>
      <c r="O1093" t="inlineStr">
        <is>
          <t>improve</t>
        </is>
      </c>
      <c r="P1093" t="inlineStr">
        <is>
          <t>adjusted decimals</t>
        </is>
      </c>
      <c r="Q1093" t="inlineStr"/>
      <c r="R1093" t="inlineStr"/>
      <c r="S1093">
        <f>HYPERLINK("https://helical-indexing-hi3d.streamlit.app/?emd_id=emd-25881&amp;rise=10.38691339&amp;twist=89.07315836&amp;csym=1&amp;rise2=10.4&amp;twist2=89.1&amp;csym2=1", "Link")</f>
        <v/>
      </c>
    </row>
    <row r="1094">
      <c r="A1094" t="inlineStr">
        <is>
          <t>EMD-0615</t>
        </is>
      </c>
      <c r="B1094" t="inlineStr">
        <is>
          <t>microtubule</t>
        </is>
      </c>
      <c r="C1094" t="n">
        <v>4.1</v>
      </c>
      <c r="D1094" t="n">
        <v>9.300000000000001</v>
      </c>
      <c r="E1094" t="n">
        <v>-27.7</v>
      </c>
      <c r="F1094" t="inlineStr">
        <is>
          <t>C1</t>
        </is>
      </c>
      <c r="G1094" t="inlineStr">
        <is>
          <t>9.35</t>
        </is>
      </c>
      <c r="H1094" t="n">
        <v>-27.7</v>
      </c>
      <c r="I1094" t="inlineStr">
        <is>
          <t>C1</t>
        </is>
      </c>
      <c r="J1094" t="n">
        <v>0.0499999999999989</v>
      </c>
      <c r="K1094" t="inlineStr">
        <is>
          <t>z -&gt; x</t>
        </is>
      </c>
      <c r="L1094" t="n">
        <v>0.7511412</v>
      </c>
      <c r="M1094" t="n">
        <v>0.7541251</v>
      </c>
      <c r="N1094" t="inlineStr">
        <is>
          <t>No</t>
        </is>
      </c>
      <c r="O1094" t="inlineStr">
        <is>
          <t>improve</t>
        </is>
      </c>
      <c r="P1094" t="inlineStr">
        <is>
          <t>adjusted decimals</t>
        </is>
      </c>
      <c r="Q1094" t="inlineStr"/>
      <c r="R1094" t="inlineStr"/>
      <c r="S1094">
        <f>HYPERLINK("https://helical-indexing-hi3d.streamlit.app/?emd_id=emd-0615&amp;rise=9.35&amp;twist=-27.7&amp;csym=1&amp;rise2=9.3&amp;twist2=-27.7&amp;csym2=1", "Link")</f>
        <v/>
      </c>
    </row>
    <row r="1095">
      <c r="A1095" t="inlineStr">
        <is>
          <t>EMD-9947</t>
        </is>
      </c>
      <c r="B1095" t="inlineStr">
        <is>
          <t>non-amyloid</t>
        </is>
      </c>
      <c r="C1095" t="n">
        <v>4.1</v>
      </c>
      <c r="D1095" t="n">
        <v>5.27</v>
      </c>
      <c r="E1095" t="n">
        <v>-100.614</v>
      </c>
      <c r="F1095" t="inlineStr">
        <is>
          <t>C1</t>
        </is>
      </c>
      <c r="G1095" t="inlineStr">
        <is>
          <t>4.05</t>
        </is>
      </c>
      <c r="H1095" t="n">
        <v>64.78</v>
      </c>
      <c r="I1095" t="inlineStr">
        <is>
          <t>C1</t>
        </is>
      </c>
      <c r="J1095" t="n">
        <v>36.78042316888366</v>
      </c>
      <c r="K1095" t="inlineStr"/>
      <c r="L1095" t="n">
        <v>0.56946</v>
      </c>
      <c r="M1095" t="n">
        <v>0.778594194</v>
      </c>
      <c r="N1095" t="inlineStr">
        <is>
          <t>No</t>
        </is>
      </c>
      <c r="O1095" t="inlineStr">
        <is>
          <t>improve</t>
        </is>
      </c>
      <c r="P1095" t="inlineStr">
        <is>
          <t>different</t>
        </is>
      </c>
      <c r="Q1095" t="inlineStr"/>
      <c r="R1095" t="inlineStr"/>
      <c r="S1095">
        <f>HYPERLINK("https://helical-indexing-hi3d.streamlit.app/?emd_id=emd-9947&amp;rise=4.05&amp;twist=64.78&amp;csym=1&amp;rise2=5.27&amp;twist2=-100.614&amp;csym2=1", "Link")</f>
        <v/>
      </c>
    </row>
    <row r="1096">
      <c r="A1096" t="inlineStr">
        <is>
          <t>EMD-8728</t>
        </is>
      </c>
      <c r="B1096" t="inlineStr">
        <is>
          <t>non-amyloid</t>
        </is>
      </c>
      <c r="C1096" t="n">
        <v>4.1</v>
      </c>
      <c r="D1096" t="n">
        <v>28.2</v>
      </c>
      <c r="E1096" t="n">
        <v>-17</v>
      </c>
      <c r="F1096" t="inlineStr">
        <is>
          <t>D5</t>
        </is>
      </c>
      <c r="G1096" t="inlineStr"/>
      <c r="H1096" t="inlineStr"/>
      <c r="I1096" t="inlineStr">
        <is>
          <t>C1</t>
        </is>
      </c>
      <c r="J1096" t="inlineStr"/>
      <c r="K1096" t="inlineStr"/>
      <c r="L1096" t="inlineStr"/>
      <c r="M1096" t="inlineStr"/>
      <c r="N1096" t="inlineStr">
        <is>
          <t>No</t>
        </is>
      </c>
      <c r="O1096" t="inlineStr"/>
      <c r="P1096" t="inlineStr">
        <is>
          <t>single unit</t>
        </is>
      </c>
      <c r="Q1096" t="inlineStr"/>
      <c r="R1096" t="inlineStr"/>
      <c r="S1096">
        <f>HYPERLINK("https://helical-indexing-hi3d.streamlit.app/?emd_id=emd-8728&amp;rise=nan&amp;twist=nan&amp;csym=1&amp;rise2=28.2&amp;twist2=-17.0&amp;csym2=5", "Link")</f>
        <v/>
      </c>
    </row>
    <row r="1097">
      <c r="A1097" t="inlineStr">
        <is>
          <t>EMD-6842</t>
        </is>
      </c>
      <c r="B1097" t="inlineStr">
        <is>
          <t>non-amyloid</t>
        </is>
      </c>
      <c r="C1097" t="n">
        <v>4.1</v>
      </c>
      <c r="D1097" t="n">
        <v>4.936</v>
      </c>
      <c r="E1097" t="n">
        <v>-101.373</v>
      </c>
      <c r="F1097" t="inlineStr">
        <is>
          <t>C1</t>
        </is>
      </c>
      <c r="G1097" t="inlineStr">
        <is>
          <t>4.93875596</t>
        </is>
      </c>
      <c r="H1097" t="n">
        <v>-101.3550391</v>
      </c>
      <c r="I1097" t="inlineStr">
        <is>
          <t>C1</t>
        </is>
      </c>
      <c r="J1097" t="n">
        <v>0.004881191</v>
      </c>
      <c r="K1097" t="inlineStr"/>
      <c r="L1097" t="n">
        <v>0.95682</v>
      </c>
      <c r="M1097" t="n">
        <v>0.9580358369999999</v>
      </c>
      <c r="N1097" t="inlineStr">
        <is>
          <t>Yes</t>
        </is>
      </c>
      <c r="O1097" t="inlineStr">
        <is>
          <t>improve</t>
        </is>
      </c>
      <c r="P1097" t="inlineStr">
        <is>
          <t>adjusted decimals</t>
        </is>
      </c>
      <c r="Q1097" t="inlineStr"/>
      <c r="R1097" t="inlineStr"/>
      <c r="S1097">
        <f>HYPERLINK("https://helical-indexing-hi3d.streamlit.app/?emd_id=emd-6842&amp;rise=4.93875596&amp;twist=-101.3550391&amp;csym=1&amp;rise2=4.936&amp;twist2=-101.373&amp;csym2=1", "Link")</f>
        <v/>
      </c>
    </row>
    <row r="1098">
      <c r="A1098" t="inlineStr">
        <is>
          <t>EMD-2840</t>
        </is>
      </c>
      <c r="B1098" t="inlineStr">
        <is>
          <t>non-amyloid</t>
        </is>
      </c>
      <c r="C1098" t="n">
        <v>4.1</v>
      </c>
      <c r="D1098" t="n">
        <v>1.408</v>
      </c>
      <c r="E1098" t="n">
        <v>22.03</v>
      </c>
      <c r="F1098" t="inlineStr">
        <is>
          <t>C1</t>
        </is>
      </c>
      <c r="G1098" t="inlineStr">
        <is>
          <t>1.408</t>
        </is>
      </c>
      <c r="H1098" t="n">
        <v>22.03</v>
      </c>
      <c r="I1098" t="inlineStr">
        <is>
          <t>C1</t>
        </is>
      </c>
      <c r="J1098" t="n">
        <v>0</v>
      </c>
      <c r="K1098" t="inlineStr"/>
      <c r="L1098" t="n">
        <v>0.99737</v>
      </c>
      <c r="M1098" t="n">
        <v>0.99737</v>
      </c>
      <c r="N1098" t="inlineStr">
        <is>
          <t>Yes</t>
        </is>
      </c>
      <c r="O1098" t="inlineStr">
        <is>
          <t>equal</t>
        </is>
      </c>
      <c r="P1098" t="inlineStr">
        <is>
          <t>deposited</t>
        </is>
      </c>
      <c r="Q1098" t="inlineStr"/>
      <c r="R1098" t="inlineStr"/>
      <c r="S1098">
        <f>HYPERLINK("https://helical-indexing-hi3d.streamlit.app/?emd_id=emd-2840&amp;rise=1.408&amp;twist=22.03&amp;csym=1&amp;rise2=1.408&amp;twist2=22.03&amp;csym2=1", "Link")</f>
        <v/>
      </c>
    </row>
    <row r="1099">
      <c r="A1099" t="inlineStr">
        <is>
          <t>EMD-16686</t>
        </is>
      </c>
      <c r="B1099" t="inlineStr">
        <is>
          <t>non-amyloid</t>
        </is>
      </c>
      <c r="C1099" t="n">
        <v>4.1</v>
      </c>
      <c r="D1099" t="n">
        <v>33.04</v>
      </c>
      <c r="E1099" t="n">
        <v>-145.33</v>
      </c>
      <c r="F1099" t="inlineStr">
        <is>
          <t>C1</t>
        </is>
      </c>
      <c r="G1099" t="inlineStr">
        <is>
          <t>32.97898371</t>
        </is>
      </c>
      <c r="H1099" t="n">
        <v>-145.1879714</v>
      </c>
      <c r="I1099" t="inlineStr">
        <is>
          <t>C1</t>
        </is>
      </c>
      <c r="J1099" t="n">
        <v>0.064154605</v>
      </c>
      <c r="K1099" t="inlineStr"/>
      <c r="L1099" t="n">
        <v>0.88223</v>
      </c>
      <c r="M1099" t="n">
        <v>0.888202241</v>
      </c>
      <c r="N1099" t="inlineStr">
        <is>
          <t>Yes</t>
        </is>
      </c>
      <c r="O1099" t="inlineStr">
        <is>
          <t>improve</t>
        </is>
      </c>
      <c r="P1099" t="inlineStr">
        <is>
          <t>adjusted decimals</t>
        </is>
      </c>
      <c r="Q1099" t="inlineStr"/>
      <c r="R1099" t="inlineStr"/>
      <c r="S1099">
        <f>HYPERLINK("https://helical-indexing-hi3d.streamlit.app/?emd_id=emd-16686&amp;rise=32.97898371&amp;twist=-145.1879714&amp;csym=1&amp;rise2=33.04&amp;twist2=-145.33&amp;csym2=1", "Link")</f>
        <v/>
      </c>
    </row>
    <row r="1100">
      <c r="A1100" t="inlineStr">
        <is>
          <t>EMD-15489</t>
        </is>
      </c>
      <c r="B1100" t="inlineStr">
        <is>
          <t>non-amyloid</t>
        </is>
      </c>
      <c r="C1100" t="n">
        <v>4.1</v>
      </c>
      <c r="D1100" t="n">
        <v>3.18</v>
      </c>
      <c r="E1100" t="n">
        <v>-161.1</v>
      </c>
      <c r="F1100" t="inlineStr">
        <is>
          <t>C1</t>
        </is>
      </c>
      <c r="G1100" t="inlineStr">
        <is>
          <t>3.18</t>
        </is>
      </c>
      <c r="H1100" t="n">
        <v>-161.1</v>
      </c>
      <c r="I1100" t="inlineStr">
        <is>
          <t>C1</t>
        </is>
      </c>
      <c r="J1100" t="n">
        <v>0</v>
      </c>
      <c r="K1100" t="inlineStr"/>
      <c r="L1100" t="n">
        <v>0.881339764</v>
      </c>
      <c r="M1100" t="n">
        <v>0.881339764</v>
      </c>
      <c r="N1100" t="inlineStr">
        <is>
          <t>Yes</t>
        </is>
      </c>
      <c r="O1100" t="inlineStr">
        <is>
          <t>equal</t>
        </is>
      </c>
      <c r="P1100" t="inlineStr">
        <is>
          <t>deposited</t>
        </is>
      </c>
      <c r="Q1100" t="inlineStr"/>
      <c r="R1100" t="inlineStr"/>
      <c r="S1100">
        <f>HYPERLINK("https://helical-indexing-hi3d.streamlit.app/?emd_id=emd-15489&amp;rise=3.18&amp;twist=-161.1&amp;csym=1&amp;rise2=3.18&amp;twist2=-161.1&amp;csym2=1", "Link")</f>
        <v/>
      </c>
    </row>
    <row r="1101">
      <c r="A1101" t="inlineStr">
        <is>
          <t>EMD-24667</t>
        </is>
      </c>
      <c r="B1101" t="inlineStr">
        <is>
          <t>microtubule</t>
        </is>
      </c>
      <c r="C1101" t="n">
        <v>4.1</v>
      </c>
      <c r="D1101" t="n">
        <v>8.9</v>
      </c>
      <c r="E1101" t="n">
        <v>-25.76</v>
      </c>
      <c r="F1101" t="inlineStr">
        <is>
          <t>C14</t>
        </is>
      </c>
      <c r="G1101" t="inlineStr"/>
      <c r="H1101" t="inlineStr"/>
      <c r="I1101" t="inlineStr">
        <is>
          <t>C14</t>
        </is>
      </c>
      <c r="J1101" t="inlineStr"/>
      <c r="K1101" t="inlineStr"/>
      <c r="L1101" t="n">
        <v>0.08932</v>
      </c>
      <c r="M1101" t="n">
        <v>0.668160086</v>
      </c>
      <c r="N1101" t="inlineStr">
        <is>
          <t>Excluded</t>
        </is>
      </c>
      <c r="O1101" t="inlineStr">
        <is>
          <t>improve</t>
        </is>
      </c>
      <c r="P1101" t="inlineStr">
        <is>
          <t>partial map</t>
        </is>
      </c>
      <c r="Q1101" t="inlineStr"/>
      <c r="R1101" t="inlineStr"/>
      <c r="S1101">
        <f>HYPERLINK("https://helical-indexing-hi3d.streamlit.app/?emd_id=emd-24667&amp;rise=nan&amp;twist=nan&amp;csym=14&amp;rise2=8.9&amp;twist2=-25.76&amp;csym2=14", "Link")</f>
        <v/>
      </c>
    </row>
    <row r="1102">
      <c r="A1102" t="inlineStr">
        <is>
          <t>EMD-24589</t>
        </is>
      </c>
      <c r="B1102" t="inlineStr">
        <is>
          <t>non-amyloid</t>
        </is>
      </c>
      <c r="C1102" t="n">
        <v>4.1</v>
      </c>
      <c r="D1102" t="n">
        <v>0.67</v>
      </c>
      <c r="E1102" t="n">
        <v>101.7</v>
      </c>
      <c r="F1102" t="inlineStr">
        <is>
          <t>C1</t>
        </is>
      </c>
      <c r="G1102" t="inlineStr">
        <is>
          <t>0.67</t>
        </is>
      </c>
      <c r="H1102" t="n">
        <v>101.7</v>
      </c>
      <c r="I1102" t="inlineStr">
        <is>
          <t>C1</t>
        </is>
      </c>
      <c r="J1102" t="n">
        <v>0</v>
      </c>
      <c r="K1102" t="inlineStr"/>
      <c r="L1102" t="n">
        <v>0.897810652</v>
      </c>
      <c r="M1102" t="n">
        <v>0.897810652</v>
      </c>
      <c r="N1102" t="inlineStr">
        <is>
          <t>Yes</t>
        </is>
      </c>
      <c r="O1102" t="inlineStr">
        <is>
          <t>equal</t>
        </is>
      </c>
      <c r="P1102" t="inlineStr">
        <is>
          <t>deposited</t>
        </is>
      </c>
      <c r="Q1102" t="inlineStr"/>
      <c r="R1102" t="inlineStr"/>
      <c r="S1102">
        <f>HYPERLINK("https://helical-indexing-hi3d.streamlit.app/?emd_id=emd-24589&amp;rise=0.67&amp;twist=101.7&amp;csym=1&amp;rise2=0.67&amp;twist2=101.7&amp;csym2=1", "Link")</f>
        <v/>
      </c>
    </row>
    <row r="1103">
      <c r="A1103" t="inlineStr">
        <is>
          <t>EMD-0298</t>
        </is>
      </c>
      <c r="B1103" t="inlineStr">
        <is>
          <t>non-amyloid</t>
        </is>
      </c>
      <c r="C1103" t="n">
        <v>4.1</v>
      </c>
      <c r="D1103" t="n">
        <v>42.65</v>
      </c>
      <c r="E1103" t="n">
        <v>13.24</v>
      </c>
      <c r="F1103" t="inlineStr">
        <is>
          <t>C8</t>
        </is>
      </c>
      <c r="G1103" t="inlineStr">
        <is>
          <t>42.65</t>
        </is>
      </c>
      <c r="H1103" t="n">
        <v>13.24</v>
      </c>
      <c r="I1103" t="inlineStr">
        <is>
          <t>C8</t>
        </is>
      </c>
      <c r="J1103" t="n">
        <v>0</v>
      </c>
      <c r="K1103" t="inlineStr"/>
      <c r="L1103" t="n">
        <v>0.99082</v>
      </c>
      <c r="M1103" t="n">
        <v>0.99082</v>
      </c>
      <c r="N1103" t="inlineStr">
        <is>
          <t>Yes</t>
        </is>
      </c>
      <c r="O1103" t="inlineStr">
        <is>
          <t>equal</t>
        </is>
      </c>
      <c r="P1103" t="inlineStr">
        <is>
          <t>deposited</t>
        </is>
      </c>
      <c r="Q1103" t="inlineStr"/>
      <c r="R1103" t="inlineStr"/>
      <c r="S1103">
        <f>HYPERLINK("https://helical-indexing-hi3d.streamlit.app/?emd_id=emd-0298&amp;rise=42.65&amp;twist=13.24&amp;csym=8&amp;rise2=42.65&amp;twist2=13.24&amp;csym2=8", "Link")</f>
        <v/>
      </c>
    </row>
    <row r="1104">
      <c r="A1104" t="inlineStr">
        <is>
          <t>EMD-9974</t>
        </is>
      </c>
      <c r="B1104" t="inlineStr">
        <is>
          <t>non-amyloid</t>
        </is>
      </c>
      <c r="C1104" t="n">
        <v>4.1</v>
      </c>
      <c r="D1104" t="n">
        <v>4.05</v>
      </c>
      <c r="E1104" t="n">
        <v>64.78</v>
      </c>
      <c r="F1104" t="inlineStr">
        <is>
          <t>C1</t>
        </is>
      </c>
      <c r="G1104" t="inlineStr">
        <is>
          <t>4.05</t>
        </is>
      </c>
      <c r="H1104" t="n">
        <v>64.78</v>
      </c>
      <c r="I1104" t="inlineStr">
        <is>
          <t>C1</t>
        </is>
      </c>
      <c r="J1104" t="n">
        <v>0</v>
      </c>
      <c r="K1104" t="inlineStr"/>
      <c r="L1104" t="n">
        <v>0.925313757</v>
      </c>
      <c r="M1104" t="n">
        <v>0.925313757</v>
      </c>
      <c r="N1104" t="inlineStr">
        <is>
          <t>Yes</t>
        </is>
      </c>
      <c r="O1104" t="inlineStr">
        <is>
          <t>equal</t>
        </is>
      </c>
      <c r="P1104" t="inlineStr">
        <is>
          <t>deposited</t>
        </is>
      </c>
      <c r="Q1104" t="inlineStr"/>
      <c r="R1104" t="inlineStr"/>
      <c r="S1104">
        <f>HYPERLINK("https://helical-indexing-hi3d.streamlit.app/?emd_id=emd-9974&amp;rise=4.05&amp;twist=64.78&amp;csym=1&amp;rise2=4.05&amp;twist2=64.78&amp;csym2=1", "Link")</f>
        <v/>
      </c>
    </row>
    <row r="1105">
      <c r="A1105" t="inlineStr">
        <is>
          <t>EMD-15005</t>
        </is>
      </c>
      <c r="B1105" t="inlineStr">
        <is>
          <t>non-amyloid</t>
        </is>
      </c>
      <c r="C1105" t="n">
        <v>4.1</v>
      </c>
      <c r="D1105" t="n">
        <v>28.1</v>
      </c>
      <c r="E1105" t="n">
        <v>82.59999999999999</v>
      </c>
      <c r="F1105" t="inlineStr">
        <is>
          <t>D1</t>
        </is>
      </c>
      <c r="G1105" t="inlineStr">
        <is>
          <t>28.1</t>
        </is>
      </c>
      <c r="H1105" t="n">
        <v>82.59999999999999</v>
      </c>
      <c r="I1105" t="inlineStr">
        <is>
          <t>CD1</t>
        </is>
      </c>
      <c r="J1105" t="n">
        <v>0</v>
      </c>
      <c r="K1105" t="inlineStr"/>
      <c r="L1105" t="n">
        <v>0.902650478</v>
      </c>
      <c r="M1105" t="n">
        <v>0.902650478</v>
      </c>
      <c r="N1105" t="inlineStr">
        <is>
          <t>Yes</t>
        </is>
      </c>
      <c r="O1105" t="inlineStr">
        <is>
          <t>equal</t>
        </is>
      </c>
      <c r="P1105" t="inlineStr">
        <is>
          <t>deposited</t>
        </is>
      </c>
      <c r="Q1105" t="inlineStr"/>
      <c r="R1105" t="inlineStr"/>
      <c r="S1105">
        <f>HYPERLINK("https://helical-indexing-hi3d.streamlit.app/?emd_id=emd-15005&amp;rise=28.1&amp;twist=82.6&amp;csym=D1&amp;rise2=28.1&amp;twist2=82.6&amp;csym2=1", "Link")</f>
        <v/>
      </c>
    </row>
    <row r="1106">
      <c r="A1106" t="inlineStr">
        <is>
          <t>EMD-26602</t>
        </is>
      </c>
      <c r="B1106" t="inlineStr">
        <is>
          <t>non-amyloid</t>
        </is>
      </c>
      <c r="C1106" t="n">
        <v>4.1</v>
      </c>
      <c r="D1106" t="n">
        <v>1.34094</v>
      </c>
      <c r="E1106" t="n">
        <v>-9.351599999999999</v>
      </c>
      <c r="F1106" t="inlineStr">
        <is>
          <t>C1</t>
        </is>
      </c>
      <c r="G1106" t="inlineStr"/>
      <c r="H1106" t="inlineStr"/>
      <c r="I1106" t="inlineStr">
        <is>
          <t>C1</t>
        </is>
      </c>
      <c r="J1106" t="inlineStr"/>
      <c r="K1106" t="inlineStr"/>
      <c r="L1106" t="inlineStr"/>
      <c r="M1106" t="inlineStr"/>
      <c r="N1106" t="inlineStr">
        <is>
          <t>No</t>
        </is>
      </c>
      <c r="O1106" t="inlineStr"/>
      <c r="P1106" t="inlineStr">
        <is>
          <t>single unit</t>
        </is>
      </c>
      <c r="Q1106" t="inlineStr"/>
      <c r="R1106" t="inlineStr"/>
      <c r="S1106">
        <f>HYPERLINK("https://helical-indexing-hi3d.streamlit.app/?emd_id=emd-26602&amp;rise=nan&amp;twist=nan&amp;csym=1&amp;rise2=1.34094&amp;twist2=-9.3516&amp;csym2=1", "Link")</f>
        <v/>
      </c>
    </row>
    <row r="1107">
      <c r="A1107" t="inlineStr">
        <is>
          <t>EMD-27413</t>
        </is>
      </c>
      <c r="B1107" t="inlineStr">
        <is>
          <t>non-amyloid</t>
        </is>
      </c>
      <c r="C1107" t="n">
        <v>4.1</v>
      </c>
      <c r="D1107" t="n">
        <v>5.001</v>
      </c>
      <c r="E1107" t="n">
        <v>74.206</v>
      </c>
      <c r="F1107" t="inlineStr">
        <is>
          <t>C1</t>
        </is>
      </c>
      <c r="G1107" t="inlineStr">
        <is>
          <t>4.998188104</t>
        </is>
      </c>
      <c r="H1107" t="n">
        <v>74.20773622999999</v>
      </c>
      <c r="I1107" t="inlineStr">
        <is>
          <t>C1</t>
        </is>
      </c>
      <c r="J1107" t="n">
        <v>0.002889489</v>
      </c>
      <c r="K1107" t="inlineStr"/>
      <c r="L1107" t="n">
        <v>0.91666</v>
      </c>
      <c r="M1107" t="n">
        <v>0.916692675</v>
      </c>
      <c r="N1107" t="inlineStr">
        <is>
          <t>Yes</t>
        </is>
      </c>
      <c r="O1107" t="inlineStr">
        <is>
          <t>improve</t>
        </is>
      </c>
      <c r="P1107" t="inlineStr">
        <is>
          <t>adjusted decimals</t>
        </is>
      </c>
      <c r="Q1107" t="inlineStr"/>
      <c r="R1107" t="inlineStr"/>
      <c r="S1107">
        <f>HYPERLINK("https://helical-indexing-hi3d.streamlit.app/?emd_id=emd-27413&amp;rise=4.998188104&amp;twist=74.20773623&amp;csym=1&amp;rise2=5.001&amp;twist2=74.206&amp;csym2=1", "Link")</f>
        <v/>
      </c>
    </row>
    <row r="1108">
      <c r="A1108" t="inlineStr">
        <is>
          <t>EMD-0145</t>
        </is>
      </c>
      <c r="B1108" t="inlineStr">
        <is>
          <t>non-amyloid</t>
        </is>
      </c>
      <c r="C1108" t="n">
        <v>4.16</v>
      </c>
      <c r="D1108" t="n">
        <v>44.366</v>
      </c>
      <c r="E1108" t="n">
        <v>93.0596</v>
      </c>
      <c r="F1108" t="inlineStr">
        <is>
          <t>C1</t>
        </is>
      </c>
      <c r="G1108" t="inlineStr">
        <is>
          <t>44.366</t>
        </is>
      </c>
      <c r="H1108" t="n">
        <v>93.0596</v>
      </c>
      <c r="I1108" t="inlineStr">
        <is>
          <t>C1</t>
        </is>
      </c>
      <c r="J1108" t="n">
        <v>0</v>
      </c>
      <c r="K1108" t="inlineStr"/>
      <c r="L1108" t="n">
        <v>0.91843</v>
      </c>
      <c r="M1108" t="n">
        <v>0.91843</v>
      </c>
      <c r="N1108" t="inlineStr">
        <is>
          <t>Yes</t>
        </is>
      </c>
      <c r="O1108" t="inlineStr">
        <is>
          <t>equal</t>
        </is>
      </c>
      <c r="P1108" t="inlineStr">
        <is>
          <t>deposited</t>
        </is>
      </c>
      <c r="Q1108" t="inlineStr"/>
      <c r="R1108" t="inlineStr"/>
      <c r="S1108">
        <f>HYPERLINK("https://helical-indexing-hi3d.streamlit.app/?emd_id=emd-0145&amp;rise=44.366&amp;twist=93.0596&amp;csym=1&amp;rise2=44.366&amp;twist2=93.0596&amp;csym2=1", "Link")</f>
        <v/>
      </c>
    </row>
    <row r="1109">
      <c r="A1109" t="inlineStr">
        <is>
          <t>EMD-27266</t>
        </is>
      </c>
      <c r="B1109" t="inlineStr">
        <is>
          <t>non-amyloid</t>
        </is>
      </c>
      <c r="C1109" t="n">
        <v>4.2</v>
      </c>
      <c r="D1109" t="n">
        <v>58.1</v>
      </c>
      <c r="E1109" t="n">
        <v>-158.2</v>
      </c>
      <c r="F1109" t="inlineStr">
        <is>
          <t>C1</t>
        </is>
      </c>
      <c r="G1109" t="inlineStr">
        <is>
          <t>58.1</t>
        </is>
      </c>
      <c r="H1109" t="n">
        <v>-158.2</v>
      </c>
      <c r="I1109" t="inlineStr">
        <is>
          <t>C1</t>
        </is>
      </c>
      <c r="J1109" t="n">
        <v>0</v>
      </c>
      <c r="K1109" t="inlineStr"/>
      <c r="L1109" t="n">
        <v>0.996841931</v>
      </c>
      <c r="M1109" t="n">
        <v>0.996841931</v>
      </c>
      <c r="N1109" t="inlineStr">
        <is>
          <t>Yes</t>
        </is>
      </c>
      <c r="O1109" t="inlineStr">
        <is>
          <t>equal</t>
        </is>
      </c>
      <c r="P1109" t="inlineStr">
        <is>
          <t>deposited</t>
        </is>
      </c>
      <c r="Q1109" t="inlineStr"/>
      <c r="R1109" t="inlineStr"/>
      <c r="S1109">
        <f>HYPERLINK("https://helical-indexing-hi3d.streamlit.app/?emd_id=emd-27266&amp;rise=58.1&amp;twist=-158.2&amp;csym=1&amp;rise2=58.1&amp;twist2=-158.2&amp;csym2=1", "Link")</f>
        <v/>
      </c>
    </row>
    <row r="1110">
      <c r="A1110" t="inlineStr">
        <is>
          <t>EMD-3746</t>
        </is>
      </c>
      <c r="B1110" t="inlineStr">
        <is>
          <t>non-amyloid</t>
        </is>
      </c>
      <c r="C1110" t="n">
        <v>4.2</v>
      </c>
      <c r="D1110" t="n">
        <v>5.5</v>
      </c>
      <c r="E1110" t="n">
        <v>108</v>
      </c>
      <c r="F1110" t="inlineStr">
        <is>
          <t>C1</t>
        </is>
      </c>
      <c r="G1110" t="inlineStr">
        <is>
          <t>5.402783973</t>
        </is>
      </c>
      <c r="H1110" t="n">
        <v>108.021734</v>
      </c>
      <c r="I1110" t="inlineStr">
        <is>
          <t>C1</t>
        </is>
      </c>
      <c r="J1110" t="n">
        <v>0.097655963</v>
      </c>
      <c r="K1110" t="inlineStr"/>
      <c r="L1110" t="n">
        <v>0.70277</v>
      </c>
      <c r="M1110" t="n">
        <v>0.773848332</v>
      </c>
      <c r="N1110" t="inlineStr">
        <is>
          <t>Yes</t>
        </is>
      </c>
      <c r="O1110" t="inlineStr">
        <is>
          <t>improve</t>
        </is>
      </c>
      <c r="P1110" t="inlineStr">
        <is>
          <t>adjusted decimals</t>
        </is>
      </c>
      <c r="Q1110" t="inlineStr"/>
      <c r="R1110" t="inlineStr"/>
      <c r="S1110">
        <f>HYPERLINK("https://helical-indexing-hi3d.streamlit.app/?emd_id=emd-3746&amp;rise=5.402783973&amp;twist=108.021734&amp;csym=1&amp;rise2=5.5&amp;twist2=108.0&amp;csym2=1", "Link")</f>
        <v/>
      </c>
    </row>
    <row r="1111">
      <c r="A1111" t="inlineStr">
        <is>
          <t>EMD-4887</t>
        </is>
      </c>
      <c r="B1111" t="inlineStr">
        <is>
          <t>non-amyloid</t>
        </is>
      </c>
      <c r="C1111" t="n">
        <v>4.2</v>
      </c>
      <c r="D1111" t="n">
        <v>57.46</v>
      </c>
      <c r="E1111" t="n">
        <v>4.89</v>
      </c>
      <c r="F1111" t="inlineStr">
        <is>
          <t>C1</t>
        </is>
      </c>
      <c r="G1111" t="inlineStr">
        <is>
          <t>57.46</t>
        </is>
      </c>
      <c r="H1111" t="n">
        <v>4.89</v>
      </c>
      <c r="I1111" t="inlineStr">
        <is>
          <t>C1</t>
        </is>
      </c>
      <c r="J1111" t="n">
        <v>0</v>
      </c>
      <c r="K1111" t="inlineStr">
        <is>
          <t>z -&gt; x</t>
        </is>
      </c>
      <c r="L1111" t="n">
        <v>0.87233</v>
      </c>
      <c r="M1111" t="n">
        <v>0.87233</v>
      </c>
      <c r="N1111" t="inlineStr">
        <is>
          <t>Yes</t>
        </is>
      </c>
      <c r="O1111" t="inlineStr">
        <is>
          <t>equal</t>
        </is>
      </c>
      <c r="P1111" t="inlineStr">
        <is>
          <t>deposited</t>
        </is>
      </c>
      <c r="Q1111" t="inlineStr"/>
      <c r="R1111" t="inlineStr"/>
      <c r="S1111">
        <f>HYPERLINK("https://helical-indexing-hi3d.streamlit.app/?emd_id=emd-4887&amp;rise=57.46&amp;twist=4.89&amp;csym=1&amp;rise2=57.46&amp;twist2=4.89&amp;csym2=1", "Link")</f>
        <v/>
      </c>
    </row>
    <row r="1112">
      <c r="A1112" t="inlineStr">
        <is>
          <t>EMD-3809</t>
        </is>
      </c>
      <c r="B1112" t="inlineStr">
        <is>
          <t>non-amyloid</t>
        </is>
      </c>
      <c r="C1112" t="n">
        <v>4.2</v>
      </c>
      <c r="D1112" t="n">
        <v>8.01188</v>
      </c>
      <c r="E1112" t="n">
        <v>114.992</v>
      </c>
      <c r="F1112" t="inlineStr">
        <is>
          <t>C1</t>
        </is>
      </c>
      <c r="G1112" t="inlineStr">
        <is>
          <t>7.989430387</t>
        </is>
      </c>
      <c r="H1112" t="n">
        <v>115.005057</v>
      </c>
      <c r="I1112" t="inlineStr">
        <is>
          <t>C1</t>
        </is>
      </c>
      <c r="J1112" t="n">
        <v>0.022796041455411</v>
      </c>
      <c r="K1112" t="inlineStr"/>
      <c r="L1112" t="n">
        <v>0.85503</v>
      </c>
      <c r="M1112" t="n">
        <v>0.8552711160000001</v>
      </c>
      <c r="N1112" t="inlineStr">
        <is>
          <t>Yes</t>
        </is>
      </c>
      <c r="O1112" t="inlineStr">
        <is>
          <t>improve</t>
        </is>
      </c>
      <c r="P1112" t="inlineStr">
        <is>
          <t>adjusted decimals</t>
        </is>
      </c>
      <c r="Q1112" t="inlineStr"/>
      <c r="R1112" t="inlineStr"/>
      <c r="S1112">
        <f>HYPERLINK("https://helical-indexing-hi3d.streamlit.app/?emd_id=emd-3809&amp;rise=7.989430387&amp;twist=115.005057&amp;csym=1&amp;rise2=8.01188&amp;twist2=114.992&amp;csym2=1", "Link")</f>
        <v/>
      </c>
    </row>
    <row r="1113">
      <c r="A1113" t="inlineStr">
        <is>
          <t>EMD-21812</t>
        </is>
      </c>
      <c r="B1113" t="inlineStr">
        <is>
          <t>non-amyloid</t>
        </is>
      </c>
      <c r="C1113" t="n">
        <v>4.2</v>
      </c>
      <c r="D1113" t="n">
        <v>9.23</v>
      </c>
      <c r="E1113" t="n">
        <v>9.31</v>
      </c>
      <c r="F1113" t="inlineStr">
        <is>
          <t>C5</t>
        </is>
      </c>
      <c r="G1113" t="inlineStr">
        <is>
          <t>9.23</t>
        </is>
      </c>
      <c r="H1113" t="n">
        <v>9.31</v>
      </c>
      <c r="I1113" t="inlineStr">
        <is>
          <t>C5</t>
        </is>
      </c>
      <c r="J1113" t="n">
        <v>0</v>
      </c>
      <c r="K1113" t="inlineStr"/>
      <c r="L1113" t="n">
        <v>0.99302</v>
      </c>
      <c r="M1113" t="n">
        <v>0.99302</v>
      </c>
      <c r="N1113" t="inlineStr">
        <is>
          <t>Yes</t>
        </is>
      </c>
      <c r="O1113" t="inlineStr">
        <is>
          <t>equal</t>
        </is>
      </c>
      <c r="P1113" t="inlineStr">
        <is>
          <t>deposited</t>
        </is>
      </c>
      <c r="Q1113" t="inlineStr"/>
      <c r="R1113" t="inlineStr"/>
      <c r="S1113">
        <f>HYPERLINK("https://helical-indexing-hi3d.streamlit.app/?emd_id=emd-21812&amp;rise=9.23&amp;twist=9.31&amp;csym=5&amp;rise2=9.23&amp;twist2=9.31&amp;csym2=5", "Link")</f>
        <v/>
      </c>
    </row>
    <row r="1114">
      <c r="A1114" t="inlineStr">
        <is>
          <t>EMD-2841</t>
        </is>
      </c>
      <c r="B1114" t="inlineStr">
        <is>
          <t>non-amyloid</t>
        </is>
      </c>
      <c r="C1114" t="n">
        <v>4.2</v>
      </c>
      <c r="D1114" t="n">
        <v>1.408</v>
      </c>
      <c r="E1114" t="n">
        <v>22.03</v>
      </c>
      <c r="F1114" t="inlineStr">
        <is>
          <t>C1</t>
        </is>
      </c>
      <c r="G1114" t="inlineStr">
        <is>
          <t>1.408</t>
        </is>
      </c>
      <c r="H1114" t="n">
        <v>22.03</v>
      </c>
      <c r="I1114" t="inlineStr">
        <is>
          <t>C1</t>
        </is>
      </c>
      <c r="J1114" t="n">
        <v>0</v>
      </c>
      <c r="K1114" t="inlineStr"/>
      <c r="L1114" t="n">
        <v>0.99786</v>
      </c>
      <c r="M1114" t="n">
        <v>0.99786</v>
      </c>
      <c r="N1114" t="inlineStr">
        <is>
          <t>Yes</t>
        </is>
      </c>
      <c r="O1114" t="inlineStr">
        <is>
          <t>equal</t>
        </is>
      </c>
      <c r="P1114" t="inlineStr">
        <is>
          <t>deposited</t>
        </is>
      </c>
      <c r="Q1114" t="inlineStr"/>
      <c r="R1114" t="inlineStr"/>
      <c r="S1114">
        <f>HYPERLINK("https://helical-indexing-hi3d.streamlit.app/?emd_id=emd-2841&amp;rise=1.408&amp;twist=22.03&amp;csym=1&amp;rise2=1.408&amp;twist2=22.03&amp;csym2=1", "Link")</f>
        <v/>
      </c>
    </row>
    <row r="1115">
      <c r="A1115" t="inlineStr">
        <is>
          <t>EMD-6594</t>
        </is>
      </c>
      <c r="B1115" t="inlineStr">
        <is>
          <t>microtubule</t>
        </is>
      </c>
      <c r="C1115" t="n">
        <v>4.2</v>
      </c>
      <c r="D1115" t="n">
        <v>11.2</v>
      </c>
      <c r="E1115" t="n">
        <v>23.817</v>
      </c>
      <c r="F1115" t="inlineStr">
        <is>
          <t>C15</t>
        </is>
      </c>
      <c r="G1115" t="inlineStr"/>
      <c r="H1115" t="inlineStr"/>
      <c r="I1115" t="inlineStr">
        <is>
          <t>C1</t>
        </is>
      </c>
      <c r="J1115" t="inlineStr"/>
      <c r="K1115" t="inlineStr"/>
      <c r="L1115" t="inlineStr"/>
      <c r="M1115" t="inlineStr"/>
      <c r="N1115" t="inlineStr">
        <is>
          <t>No</t>
        </is>
      </c>
      <c r="O1115" t="inlineStr"/>
      <c r="P1115" t="inlineStr">
        <is>
          <t>single unit</t>
        </is>
      </c>
      <c r="Q1115" t="inlineStr"/>
      <c r="R1115" t="inlineStr"/>
      <c r="S1115">
        <f>HYPERLINK("https://helical-indexing-hi3d.streamlit.app/?emd_id=emd-6594&amp;rise=nan&amp;twist=nan&amp;csym=1&amp;rise2=11.2&amp;twist2=23.817&amp;csym2=15", "Link")</f>
        <v/>
      </c>
    </row>
    <row r="1116">
      <c r="A1116" t="inlineStr">
        <is>
          <t>EMD-6428</t>
        </is>
      </c>
      <c r="B1116" t="inlineStr">
        <is>
          <t>non-amyloid</t>
        </is>
      </c>
      <c r="C1116" t="n">
        <v>4.2</v>
      </c>
      <c r="D1116" t="n">
        <v>5.06</v>
      </c>
      <c r="E1116" t="n">
        <v>101.21</v>
      </c>
      <c r="F1116" t="inlineStr">
        <is>
          <t>C1</t>
        </is>
      </c>
      <c r="G1116" t="inlineStr">
        <is>
          <t>5.059652076</t>
        </is>
      </c>
      <c r="H1116" t="n">
        <v>-101.2028365</v>
      </c>
      <c r="I1116" t="inlineStr">
        <is>
          <t>C1</t>
        </is>
      </c>
      <c r="J1116" t="n">
        <v>35.47438282</v>
      </c>
      <c r="K1116" t="inlineStr">
        <is>
          <t> </t>
        </is>
      </c>
      <c r="L1116" t="n">
        <v>0.21808</v>
      </c>
      <c r="M1116" t="n">
        <v>0.996554772</v>
      </c>
      <c r="N1116" t="inlineStr">
        <is>
          <t>Yes</t>
        </is>
      </c>
      <c r="O1116" t="inlineStr">
        <is>
          <t>improve</t>
        </is>
      </c>
      <c r="P1116" t="inlineStr">
        <is>
          <t>twist sign</t>
        </is>
      </c>
      <c r="Q1116" t="inlineStr"/>
      <c r="R1116" t="inlineStr"/>
      <c r="S1116">
        <f>HYPERLINK("https://helical-indexing-hi3d.streamlit.app/?emd_id=emd-6428&amp;rise=5.059652076&amp;twist=-101.2028365&amp;csym=1&amp;rise2=5.06&amp;twist2=101.21&amp;csym2=1", "Link")</f>
        <v/>
      </c>
    </row>
    <row r="1117">
      <c r="A1117" t="inlineStr">
        <is>
          <t>EMD-21813</t>
        </is>
      </c>
      <c r="B1117" t="inlineStr">
        <is>
          <t>non-amyloid</t>
        </is>
      </c>
      <c r="C1117" t="n">
        <v>4.2</v>
      </c>
      <c r="D1117" t="n">
        <v>7.96</v>
      </c>
      <c r="E1117" t="n">
        <v>10.88</v>
      </c>
      <c r="F1117" t="inlineStr">
        <is>
          <t>C4</t>
        </is>
      </c>
      <c r="G1117" t="inlineStr">
        <is>
          <t>7.96</t>
        </is>
      </c>
      <c r="H1117" t="n">
        <v>10.88</v>
      </c>
      <c r="I1117" t="inlineStr">
        <is>
          <t>C4</t>
        </is>
      </c>
      <c r="J1117" t="n">
        <v>0</v>
      </c>
      <c r="K1117" t="inlineStr"/>
      <c r="L1117" t="n">
        <v>0.99796</v>
      </c>
      <c r="M1117" t="n">
        <v>0.99796</v>
      </c>
      <c r="N1117" t="inlineStr">
        <is>
          <t>Yes</t>
        </is>
      </c>
      <c r="O1117" t="inlineStr">
        <is>
          <t>equal</t>
        </is>
      </c>
      <c r="P1117" t="inlineStr">
        <is>
          <t>deposited</t>
        </is>
      </c>
      <c r="Q1117" t="inlineStr"/>
      <c r="R1117" t="inlineStr"/>
      <c r="S1117">
        <f>HYPERLINK("https://helical-indexing-hi3d.streamlit.app/?emd_id=emd-21813&amp;rise=7.96&amp;twist=10.88&amp;csym=4&amp;rise2=7.96&amp;twist2=10.88&amp;csym2=4", "Link")</f>
        <v/>
      </c>
    </row>
    <row r="1118">
      <c r="A1118" t="inlineStr">
        <is>
          <t>EMD-7342</t>
        </is>
      </c>
      <c r="B1118" t="inlineStr">
        <is>
          <t>non-amyloid</t>
        </is>
      </c>
      <c r="C1118" t="n">
        <v>4.2</v>
      </c>
      <c r="D1118" t="n">
        <v>7.7</v>
      </c>
      <c r="E1118" t="n">
        <v>115</v>
      </c>
      <c r="F1118" t="inlineStr">
        <is>
          <t>C1</t>
        </is>
      </c>
      <c r="G1118" t="inlineStr">
        <is>
          <t>7.692713313</t>
        </is>
      </c>
      <c r="H1118" t="n">
        <v>114.9845964</v>
      </c>
      <c r="I1118" t="inlineStr">
        <is>
          <t>C1</t>
        </is>
      </c>
      <c r="J1118" t="n">
        <v>0.007292208</v>
      </c>
      <c r="K1118" t="inlineStr"/>
      <c r="L1118" t="n">
        <v>0.9883999999999999</v>
      </c>
      <c r="M1118" t="n">
        <v>0.989743835</v>
      </c>
      <c r="N1118" t="inlineStr">
        <is>
          <t>Yes</t>
        </is>
      </c>
      <c r="O1118" t="inlineStr">
        <is>
          <t>improve</t>
        </is>
      </c>
      <c r="P1118" t="inlineStr">
        <is>
          <t>adjusted decimals</t>
        </is>
      </c>
      <c r="Q1118" t="inlineStr"/>
      <c r="R1118" t="inlineStr"/>
      <c r="S1118">
        <f>HYPERLINK("https://helical-indexing-hi3d.streamlit.app/?emd_id=emd-7342&amp;rise=7.692713313&amp;twist=114.9845964&amp;csym=1&amp;rise2=7.7&amp;twist2=115.0&amp;csym2=1", "Link")</f>
        <v/>
      </c>
    </row>
    <row r="1119">
      <c r="A1119" t="inlineStr">
        <is>
          <t>EMD-21818</t>
        </is>
      </c>
      <c r="B1119" t="inlineStr">
        <is>
          <t>non-amyloid</t>
        </is>
      </c>
      <c r="C1119" t="n">
        <v>4.2</v>
      </c>
      <c r="D1119" t="n">
        <v>1.92</v>
      </c>
      <c r="E1119" t="n">
        <v>124.37</v>
      </c>
      <c r="F1119" t="inlineStr">
        <is>
          <t>C1</t>
        </is>
      </c>
      <c r="G1119" t="inlineStr">
        <is>
          <t>1.92</t>
        </is>
      </c>
      <c r="H1119" t="n">
        <v>124.37</v>
      </c>
      <c r="I1119" t="inlineStr">
        <is>
          <t>C1</t>
        </is>
      </c>
      <c r="J1119" t="n">
        <v>0</v>
      </c>
      <c r="K1119" t="inlineStr"/>
      <c r="L1119" t="n">
        <v>0.99105</v>
      </c>
      <c r="M1119" t="n">
        <v>0.99105</v>
      </c>
      <c r="N1119" t="inlineStr">
        <is>
          <t>Yes</t>
        </is>
      </c>
      <c r="O1119" t="inlineStr">
        <is>
          <t>equal</t>
        </is>
      </c>
      <c r="P1119" t="inlineStr">
        <is>
          <t>deposited</t>
        </is>
      </c>
      <c r="Q1119" t="inlineStr"/>
      <c r="R1119" t="inlineStr"/>
      <c r="S1119">
        <f>HYPERLINK("https://helical-indexing-hi3d.streamlit.app/?emd_id=emd-21818&amp;rise=1.92&amp;twist=124.37&amp;csym=1&amp;rise2=1.92&amp;twist2=124.37&amp;csym2=1", "Link")</f>
        <v/>
      </c>
    </row>
    <row r="1120">
      <c r="A1120" t="inlineStr">
        <is>
          <t>EMD-22371</t>
        </is>
      </c>
      <c r="B1120" t="inlineStr">
        <is>
          <t>non-amyloid</t>
        </is>
      </c>
      <c r="C1120" t="n">
        <v>4.2</v>
      </c>
      <c r="D1120" t="n">
        <v>46.2706</v>
      </c>
      <c r="E1120" t="n">
        <v>76.1005</v>
      </c>
      <c r="F1120" t="inlineStr">
        <is>
          <t>C1</t>
        </is>
      </c>
      <c r="G1120" t="inlineStr">
        <is>
          <t>46.2706</t>
        </is>
      </c>
      <c r="H1120" t="n">
        <v>76.1005</v>
      </c>
      <c r="I1120" t="inlineStr">
        <is>
          <t>C1</t>
        </is>
      </c>
      <c r="J1120" t="n">
        <v>0</v>
      </c>
      <c r="K1120" t="inlineStr"/>
      <c r="L1120" t="n">
        <v>0.91445</v>
      </c>
      <c r="M1120" t="n">
        <v>0.91445</v>
      </c>
      <c r="N1120" t="inlineStr">
        <is>
          <t>Yes</t>
        </is>
      </c>
      <c r="O1120" t="inlineStr">
        <is>
          <t>equal</t>
        </is>
      </c>
      <c r="P1120" t="inlineStr">
        <is>
          <t>deposited</t>
        </is>
      </c>
      <c r="Q1120" t="inlineStr"/>
      <c r="R1120" t="inlineStr"/>
      <c r="S1120">
        <f>HYPERLINK("https://helical-indexing-hi3d.streamlit.app/?emd_id=emd-22371&amp;rise=46.2706&amp;twist=76.1005&amp;csym=1&amp;rise2=46.2706&amp;twist2=76.1005&amp;csym2=1", "Link")</f>
        <v/>
      </c>
    </row>
    <row r="1121">
      <c r="A1121" t="inlineStr">
        <is>
          <t>EMD-8183</t>
        </is>
      </c>
      <c r="B1121" t="inlineStr">
        <is>
          <t>non-amyloid</t>
        </is>
      </c>
      <c r="C1121" t="n">
        <v>4.2</v>
      </c>
      <c r="D1121" t="n">
        <v>16.05</v>
      </c>
      <c r="E1121" t="n">
        <v>56.2</v>
      </c>
      <c r="F1121" t="inlineStr">
        <is>
          <t>C1</t>
        </is>
      </c>
      <c r="G1121" t="inlineStr">
        <is>
          <t>16.05</t>
        </is>
      </c>
      <c r="H1121" t="n">
        <v>56.2</v>
      </c>
      <c r="I1121" t="inlineStr">
        <is>
          <t>C1</t>
        </is>
      </c>
      <c r="J1121" t="n">
        <v>0</v>
      </c>
      <c r="K1121" t="inlineStr"/>
      <c r="L1121" t="n">
        <v>0.92593</v>
      </c>
      <c r="M1121" t="n">
        <v>0.92593</v>
      </c>
      <c r="N1121" t="inlineStr">
        <is>
          <t>Yes</t>
        </is>
      </c>
      <c r="O1121" t="inlineStr">
        <is>
          <t>equal</t>
        </is>
      </c>
      <c r="P1121" t="inlineStr">
        <is>
          <t>deposited</t>
        </is>
      </c>
      <c r="Q1121" t="inlineStr"/>
      <c r="R1121" t="inlineStr"/>
      <c r="S1121">
        <f>HYPERLINK("https://helical-indexing-hi3d.streamlit.app/?emd_id=emd-8183&amp;rise=16.05&amp;twist=56.2&amp;csym=1&amp;rise2=16.05&amp;twist2=56.2&amp;csym2=1", "Link")</f>
        <v/>
      </c>
    </row>
    <row r="1122">
      <c r="A1122" t="inlineStr">
        <is>
          <t>EMD-9758</t>
        </is>
      </c>
      <c r="B1122" t="inlineStr">
        <is>
          <t>non-amyloid</t>
        </is>
      </c>
      <c r="C1122" t="n">
        <v>4.2</v>
      </c>
      <c r="D1122" t="n">
        <v>50.26</v>
      </c>
      <c r="E1122" t="n">
        <v>-50.37</v>
      </c>
      <c r="F1122" t="inlineStr">
        <is>
          <t>C1</t>
        </is>
      </c>
      <c r="G1122" t="inlineStr"/>
      <c r="H1122" t="inlineStr"/>
      <c r="I1122" t="inlineStr">
        <is>
          <t>C1</t>
        </is>
      </c>
      <c r="J1122" t="inlineStr"/>
      <c r="K1122" t="inlineStr"/>
      <c r="L1122" t="inlineStr"/>
      <c r="M1122" t="inlineStr"/>
      <c r="N1122" t="inlineStr">
        <is>
          <t>No</t>
        </is>
      </c>
      <c r="O1122" t="inlineStr"/>
      <c r="P1122" t="inlineStr">
        <is>
          <t>single unit</t>
        </is>
      </c>
      <c r="Q1122" t="inlineStr"/>
      <c r="R1122" t="inlineStr"/>
      <c r="S1122">
        <f>HYPERLINK("https://helical-indexing-hi3d.streamlit.app/?emd_id=emd-9758&amp;rise=nan&amp;twist=nan&amp;csym=1&amp;rise2=50.26&amp;twist2=-50.37&amp;csym2=1", "Link")</f>
        <v/>
      </c>
    </row>
    <row r="1123">
      <c r="A1123" t="inlineStr">
        <is>
          <t>EMD-8855</t>
        </is>
      </c>
      <c r="B1123" t="inlineStr">
        <is>
          <t>non-amyloid</t>
        </is>
      </c>
      <c r="C1123" t="n">
        <v>4.2</v>
      </c>
      <c r="D1123" t="n">
        <v>4.61</v>
      </c>
      <c r="E1123" t="n">
        <v>65.75</v>
      </c>
      <c r="F1123" t="inlineStr">
        <is>
          <t>C1</t>
        </is>
      </c>
      <c r="G1123" t="inlineStr">
        <is>
          <t>4.61</t>
        </is>
      </c>
      <c r="H1123" t="n">
        <v>65.75</v>
      </c>
      <c r="I1123" t="inlineStr">
        <is>
          <t>C1</t>
        </is>
      </c>
      <c r="J1123" t="n">
        <v>0</v>
      </c>
      <c r="K1123" t="inlineStr"/>
      <c r="L1123" t="n">
        <v>0.9782999999999999</v>
      </c>
      <c r="M1123" t="n">
        <v>0.9782999999999999</v>
      </c>
      <c r="N1123" t="inlineStr">
        <is>
          <t>Yes</t>
        </is>
      </c>
      <c r="O1123" t="inlineStr">
        <is>
          <t>equal</t>
        </is>
      </c>
      <c r="P1123" t="inlineStr">
        <is>
          <t>deposited</t>
        </is>
      </c>
      <c r="Q1123" t="inlineStr"/>
      <c r="R1123" t="inlineStr"/>
      <c r="S1123">
        <f>HYPERLINK("https://helical-indexing-hi3d.streamlit.app/?emd_id=emd-8855&amp;rise=4.61&amp;twist=65.75&amp;csym=1&amp;rise2=4.61&amp;twist2=65.75&amp;csym2=1", "Link")</f>
        <v/>
      </c>
    </row>
    <row r="1124">
      <c r="A1124" t="inlineStr">
        <is>
          <t>EMD-25118</t>
        </is>
      </c>
      <c r="B1124" t="inlineStr">
        <is>
          <t>microtubule</t>
        </is>
      </c>
      <c r="C1124" t="n">
        <v>4.2</v>
      </c>
      <c r="D1124" t="n">
        <v>9.539999999999999</v>
      </c>
      <c r="E1124" t="n">
        <v>-27.669</v>
      </c>
      <c r="F1124" t="inlineStr">
        <is>
          <t>C1</t>
        </is>
      </c>
      <c r="G1124" t="inlineStr">
        <is>
          <t>3.166297706</t>
        </is>
      </c>
      <c r="H1124" t="n">
        <v>110.7741701</v>
      </c>
      <c r="I1124" t="inlineStr">
        <is>
          <t>C1</t>
        </is>
      </c>
      <c r="J1124" t="n">
        <v>30.29136532601946</v>
      </c>
      <c r="K1124" t="inlineStr"/>
      <c r="L1124" t="n">
        <v>0.774912517</v>
      </c>
      <c r="M1124" t="n">
        <v>0.803835177</v>
      </c>
      <c r="N1124" t="inlineStr">
        <is>
          <t>Yes</t>
        </is>
      </c>
      <c r="O1124" t="inlineStr">
        <is>
          <t>improve</t>
        </is>
      </c>
      <c r="P1124" t="inlineStr">
        <is>
          <t>different</t>
        </is>
      </c>
      <c r="Q1124" t="inlineStr">
        <is>
          <t>partial symmetry</t>
        </is>
      </c>
      <c r="R1124" t="inlineStr"/>
      <c r="S1124">
        <f>HYPERLINK("https://helical-indexing-hi3d.streamlit.app/?emd_id=emd-25118&amp;rise=3.166297706&amp;twist=110.7741701&amp;csym=1&amp;rise2=9.54&amp;twist2=-27.669&amp;csym2=1", "Link")</f>
        <v/>
      </c>
    </row>
    <row r="1125">
      <c r="A1125" t="inlineStr">
        <is>
          <t>EMD-9140</t>
        </is>
      </c>
      <c r="B1125" t="inlineStr">
        <is>
          <t>microtubule</t>
        </is>
      </c>
      <c r="C1125" t="n">
        <v>4.2</v>
      </c>
      <c r="D1125" t="n">
        <v>11.11</v>
      </c>
      <c r="E1125" t="n">
        <v>-23.84</v>
      </c>
      <c r="F1125" t="inlineStr">
        <is>
          <t>C1</t>
        </is>
      </c>
      <c r="G1125" t="inlineStr"/>
      <c r="H1125" t="inlineStr"/>
      <c r="I1125" t="inlineStr">
        <is>
          <t>C1</t>
        </is>
      </c>
      <c r="J1125" t="inlineStr"/>
      <c r="K1125" t="inlineStr"/>
      <c r="L1125" t="inlineStr"/>
      <c r="M1125" t="inlineStr"/>
      <c r="N1125" t="inlineStr">
        <is>
          <t>No</t>
        </is>
      </c>
      <c r="O1125" t="inlineStr"/>
      <c r="P1125" t="inlineStr">
        <is>
          <t>single unit</t>
        </is>
      </c>
      <c r="Q1125" t="inlineStr"/>
      <c r="R1125" t="inlineStr"/>
      <c r="S1125">
        <f>HYPERLINK("https://helical-indexing-hi3d.streamlit.app/?emd_id=emd-9140&amp;rise=nan&amp;twist=nan&amp;csym=1&amp;rise2=11.11&amp;twist2=-23.84&amp;csym2=1", "Link")</f>
        <v/>
      </c>
    </row>
    <row r="1126">
      <c r="A1126" t="inlineStr">
        <is>
          <t>EMD-30177</t>
        </is>
      </c>
      <c r="B1126" t="inlineStr">
        <is>
          <t>non-amyloid</t>
        </is>
      </c>
      <c r="C1126" t="n">
        <v>4.2</v>
      </c>
      <c r="D1126" t="n">
        <v>27.44</v>
      </c>
      <c r="E1126" t="n">
        <v>-166.9</v>
      </c>
      <c r="F1126" t="inlineStr">
        <is>
          <t>C1</t>
        </is>
      </c>
      <c r="G1126" t="inlineStr">
        <is>
          <t>27.83601315</t>
        </is>
      </c>
      <c r="H1126" t="n">
        <v>-166.6938856</v>
      </c>
      <c r="I1126" t="inlineStr">
        <is>
          <t>C1</t>
        </is>
      </c>
      <c r="J1126" t="n">
        <v>0.3985274685772431</v>
      </c>
      <c r="K1126" t="inlineStr"/>
      <c r="L1126" t="n">
        <v>0.86738</v>
      </c>
      <c r="M1126" t="n">
        <v>0.922489763</v>
      </c>
      <c r="N1126" t="inlineStr">
        <is>
          <t>Yes</t>
        </is>
      </c>
      <c r="O1126" t="inlineStr">
        <is>
          <t>improve</t>
        </is>
      </c>
      <c r="P1126" t="inlineStr">
        <is>
          <t>adjusted decimals</t>
        </is>
      </c>
      <c r="Q1126" t="inlineStr"/>
      <c r="R1126" t="inlineStr"/>
      <c r="S1126">
        <f>HYPERLINK("https://helical-indexing-hi3d.streamlit.app/?emd_id=emd-30177&amp;rise=27.83601315&amp;twist=-166.6938856&amp;csym=1&amp;rise2=27.44&amp;twist2=-166.9&amp;csym2=1", "Link")</f>
        <v/>
      </c>
    </row>
    <row r="1127">
      <c r="A1127" t="inlineStr">
        <is>
          <t>EMD-7134</t>
        </is>
      </c>
      <c r="B1127" t="inlineStr">
        <is>
          <t>non-amyloid</t>
        </is>
      </c>
      <c r="C1127" t="n">
        <v>4.2</v>
      </c>
      <c r="D1127" t="n">
        <v>24.4</v>
      </c>
      <c r="E1127" t="n">
        <v>157.7</v>
      </c>
      <c r="F1127" t="inlineStr">
        <is>
          <t>C1</t>
        </is>
      </c>
      <c r="G1127" t="inlineStr">
        <is>
          <t>24.4</t>
        </is>
      </c>
      <c r="H1127" t="n">
        <v>157.7</v>
      </c>
      <c r="I1127" t="inlineStr">
        <is>
          <t>C1</t>
        </is>
      </c>
      <c r="J1127" t="n">
        <v>0</v>
      </c>
      <c r="K1127" t="inlineStr"/>
      <c r="L1127" t="n">
        <v>0.88796</v>
      </c>
      <c r="M1127" t="n">
        <v>0.88796</v>
      </c>
      <c r="N1127" t="inlineStr">
        <is>
          <t>Yes</t>
        </is>
      </c>
      <c r="O1127" t="inlineStr">
        <is>
          <t>equal</t>
        </is>
      </c>
      <c r="P1127" t="inlineStr">
        <is>
          <t>deposited</t>
        </is>
      </c>
      <c r="Q1127" t="inlineStr"/>
      <c r="R1127" t="inlineStr"/>
      <c r="S1127">
        <f>HYPERLINK("https://helical-indexing-hi3d.streamlit.app/?emd_id=emd-7134&amp;rise=24.4&amp;twist=157.7&amp;csym=1&amp;rise2=24.4&amp;twist2=157.7&amp;csym2=1", "Link")</f>
        <v/>
      </c>
    </row>
    <row r="1128">
      <c r="A1128" t="inlineStr">
        <is>
          <t>EMD-9141</t>
        </is>
      </c>
      <c r="B1128" t="inlineStr">
        <is>
          <t>microtubule</t>
        </is>
      </c>
      <c r="C1128" t="n">
        <v>4.2</v>
      </c>
      <c r="D1128" t="n">
        <v>8.83</v>
      </c>
      <c r="E1128" t="n">
        <v>-25.76</v>
      </c>
      <c r="F1128" t="inlineStr">
        <is>
          <t>C1</t>
        </is>
      </c>
      <c r="G1128" t="inlineStr"/>
      <c r="H1128" t="inlineStr"/>
      <c r="I1128" t="inlineStr">
        <is>
          <t>C1</t>
        </is>
      </c>
      <c r="J1128" t="inlineStr"/>
      <c r="K1128" t="inlineStr"/>
      <c r="L1128" t="inlineStr"/>
      <c r="M1128" t="inlineStr"/>
      <c r="N1128" t="inlineStr">
        <is>
          <t>No</t>
        </is>
      </c>
      <c r="O1128" t="inlineStr"/>
      <c r="P1128" t="inlineStr">
        <is>
          <t>single unit</t>
        </is>
      </c>
      <c r="Q1128" t="inlineStr"/>
      <c r="R1128" t="inlineStr"/>
      <c r="S1128">
        <f>HYPERLINK("https://helical-indexing-hi3d.streamlit.app/?emd_id=emd-9141&amp;rise=nan&amp;twist=nan&amp;csym=1&amp;rise2=8.83&amp;twist2=-25.76&amp;csym2=1", "Link")</f>
        <v/>
      </c>
    </row>
    <row r="1129">
      <c r="A1129" t="inlineStr">
        <is>
          <t>EMD-4052</t>
        </is>
      </c>
      <c r="B1129" t="inlineStr">
        <is>
          <t>non-amyloid</t>
        </is>
      </c>
      <c r="C1129" t="n">
        <v>4.2</v>
      </c>
      <c r="D1129" t="n">
        <v>18.8</v>
      </c>
      <c r="E1129" t="n">
        <v>30.7</v>
      </c>
      <c r="F1129" t="inlineStr">
        <is>
          <t>C6</t>
        </is>
      </c>
      <c r="G1129" t="inlineStr">
        <is>
          <t>18.8</t>
        </is>
      </c>
      <c r="H1129" t="n">
        <v>30.7</v>
      </c>
      <c r="I1129" t="inlineStr">
        <is>
          <t>C6</t>
        </is>
      </c>
      <c r="J1129" t="n">
        <v>0</v>
      </c>
      <c r="K1129" t="inlineStr">
        <is>
          <t> </t>
        </is>
      </c>
      <c r="L1129" t="n">
        <v>0.88984</v>
      </c>
      <c r="M1129" t="n">
        <v>0.88984</v>
      </c>
      <c r="N1129" t="inlineStr">
        <is>
          <t>Yes</t>
        </is>
      </c>
      <c r="O1129" t="inlineStr">
        <is>
          <t>equal</t>
        </is>
      </c>
      <c r="P1129" t="inlineStr">
        <is>
          <t>deposited</t>
        </is>
      </c>
      <c r="Q1129" t="inlineStr"/>
      <c r="R1129" t="inlineStr"/>
      <c r="S1129">
        <f>HYPERLINK("https://helical-indexing-hi3d.streamlit.app/?emd_id=emd-4052&amp;rise=18.8&amp;twist=30.7&amp;csym=6&amp;rise2=18.8&amp;twist2=30.7&amp;csym2=6", "Link")</f>
        <v/>
      </c>
    </row>
    <row r="1130">
      <c r="A1130" t="inlineStr">
        <is>
          <t>EMD-8874</t>
        </is>
      </c>
      <c r="B1130" t="inlineStr">
        <is>
          <t>non-amyloid</t>
        </is>
      </c>
      <c r="C1130" t="n">
        <v>4.22</v>
      </c>
      <c r="D1130" t="n">
        <v>54.8</v>
      </c>
      <c r="E1130" t="n">
        <v>-0.8</v>
      </c>
      <c r="F1130" t="inlineStr">
        <is>
          <t>C1</t>
        </is>
      </c>
      <c r="G1130" t="inlineStr">
        <is>
          <t>54.74194887</t>
        </is>
      </c>
      <c r="H1130" t="n">
        <v>0.85</v>
      </c>
      <c r="I1130" t="inlineStr">
        <is>
          <t>C1</t>
        </is>
      </c>
      <c r="J1130" t="n">
        <v>0.7437136104316601</v>
      </c>
      <c r="K1130" t="inlineStr">
        <is>
          <t> </t>
        </is>
      </c>
      <c r="L1130" t="n">
        <v>0.48957</v>
      </c>
      <c r="M1130" t="n">
        <v>0.827404489</v>
      </c>
      <c r="N1130" t="inlineStr">
        <is>
          <t>Yes</t>
        </is>
      </c>
      <c r="O1130" t="inlineStr">
        <is>
          <t>improve</t>
        </is>
      </c>
      <c r="P1130" t="inlineStr">
        <is>
          <t>twist sign</t>
        </is>
      </c>
      <c r="Q1130" t="inlineStr"/>
      <c r="R1130" t="inlineStr"/>
      <c r="S1130">
        <f>HYPERLINK("https://helical-indexing-hi3d.streamlit.app/?emd_id=emd-8874&amp;rise=54.74194887&amp;twist=0.85&amp;csym=1&amp;rise2=54.8&amp;twist2=-0.8&amp;csym2=1", "Link")</f>
        <v/>
      </c>
    </row>
    <row r="1131">
      <c r="A1131" t="inlineStr">
        <is>
          <t>EMD-22067</t>
        </is>
      </c>
      <c r="B1131" t="inlineStr">
        <is>
          <t>non-amyloid</t>
        </is>
      </c>
      <c r="C1131" t="n">
        <v>4.24</v>
      </c>
      <c r="D1131" t="n">
        <v>27.5</v>
      </c>
      <c r="E1131" t="n">
        <v>-166.4</v>
      </c>
      <c r="F1131" t="inlineStr">
        <is>
          <t>C1</t>
        </is>
      </c>
      <c r="G1131" t="inlineStr">
        <is>
          <t>55.29758305</t>
        </is>
      </c>
      <c r="H1131" t="n">
        <v>27.04198325</v>
      </c>
      <c r="I1131" t="inlineStr">
        <is>
          <t>C1</t>
        </is>
      </c>
      <c r="J1131" t="n">
        <v>65.23978677532217</v>
      </c>
      <c r="K1131" t="inlineStr"/>
      <c r="L1131" t="n">
        <v>0.87058</v>
      </c>
      <c r="M1131" t="n">
        <v>0.899932531</v>
      </c>
      <c r="N1131" t="inlineStr">
        <is>
          <t>Yes</t>
        </is>
      </c>
      <c r="O1131" t="inlineStr">
        <is>
          <t>improve</t>
        </is>
      </c>
      <c r="P1131" t="inlineStr">
        <is>
          <t>different</t>
        </is>
      </c>
      <c r="Q1131" t="inlineStr">
        <is>
          <t>check</t>
        </is>
      </c>
      <c r="R1131" t="inlineStr">
        <is>
          <t>sign error</t>
        </is>
      </c>
      <c r="S1131">
        <f>HYPERLINK("https://helical-indexing-hi3d.streamlit.app/?emd_id=emd-22067&amp;rise=55.29758305&amp;twist=27.04198325&amp;csym=1&amp;rise2=27.5&amp;twist2=-166.4&amp;csym2=1", "Link")</f>
        <v/>
      </c>
    </row>
    <row r="1132">
      <c r="A1132" t="inlineStr">
        <is>
          <t>EMD-12288</t>
        </is>
      </c>
      <c r="B1132" t="inlineStr">
        <is>
          <t>non-amyloid</t>
        </is>
      </c>
      <c r="C1132" t="n">
        <v>4.26</v>
      </c>
      <c r="D1132" t="n">
        <v>44.4029</v>
      </c>
      <c r="E1132" t="n">
        <v>87.3693</v>
      </c>
      <c r="F1132" t="inlineStr">
        <is>
          <t>C1</t>
        </is>
      </c>
      <c r="G1132" t="inlineStr">
        <is>
          <t>44.16409983</t>
        </is>
      </c>
      <c r="H1132" t="n">
        <v>87.04357281</v>
      </c>
      <c r="I1132" t="inlineStr">
        <is>
          <t>C1</t>
        </is>
      </c>
      <c r="J1132" t="n">
        <v>0.2547426114500749</v>
      </c>
      <c r="K1132" t="inlineStr"/>
      <c r="L1132" t="n">
        <v>0.90489</v>
      </c>
      <c r="M1132" t="n">
        <v>0.905115772</v>
      </c>
      <c r="N1132" t="inlineStr">
        <is>
          <t>Yes</t>
        </is>
      </c>
      <c r="O1132" t="inlineStr">
        <is>
          <t>improve</t>
        </is>
      </c>
      <c r="P1132" t="inlineStr">
        <is>
          <t>adjusted decimals</t>
        </is>
      </c>
      <c r="Q1132" t="inlineStr"/>
      <c r="R1132" t="inlineStr"/>
      <c r="S1132">
        <f>HYPERLINK("https://helical-indexing-hi3d.streamlit.app/?emd_id=emd-12288&amp;rise=44.16409983&amp;twist=87.04357281&amp;csym=1&amp;rise2=44.4029&amp;twist2=87.3693&amp;csym2=1", "Link")</f>
        <v/>
      </c>
    </row>
    <row r="1133">
      <c r="A1133" t="inlineStr">
        <is>
          <t>EMD-2850</t>
        </is>
      </c>
      <c r="B1133" t="inlineStr">
        <is>
          <t>non-amyloid</t>
        </is>
      </c>
      <c r="C1133" t="n">
        <v>4.3</v>
      </c>
      <c r="D1133" t="n">
        <v>24.7</v>
      </c>
      <c r="E1133" t="n">
        <v>165.1</v>
      </c>
      <c r="F1133" t="inlineStr">
        <is>
          <t>C1</t>
        </is>
      </c>
      <c r="G1133" t="inlineStr">
        <is>
          <t>24.7</t>
        </is>
      </c>
      <c r="H1133" t="n">
        <v>165.1</v>
      </c>
      <c r="I1133" t="inlineStr">
        <is>
          <t>C1</t>
        </is>
      </c>
      <c r="J1133" t="n">
        <v>0</v>
      </c>
      <c r="K1133" t="inlineStr"/>
      <c r="L1133" t="n">
        <v>0.98799</v>
      </c>
      <c r="M1133" t="n">
        <v>0.98799</v>
      </c>
      <c r="N1133" t="inlineStr">
        <is>
          <t>Yes</t>
        </is>
      </c>
      <c r="O1133" t="inlineStr">
        <is>
          <t>equal</t>
        </is>
      </c>
      <c r="P1133" t="inlineStr">
        <is>
          <t>deposited</t>
        </is>
      </c>
      <c r="Q1133" t="inlineStr"/>
      <c r="R1133" t="inlineStr"/>
      <c r="S1133">
        <f>HYPERLINK("https://helical-indexing-hi3d.streamlit.app/?emd_id=emd-2850&amp;rise=24.7&amp;twist=165.1&amp;csym=1&amp;rise2=24.7&amp;twist2=165.1&amp;csym2=1", "Link")</f>
        <v/>
      </c>
    </row>
    <row r="1134">
      <c r="A1134" t="inlineStr">
        <is>
          <t>EMD-27100</t>
        </is>
      </c>
      <c r="B1134" t="inlineStr">
        <is>
          <t>non-amyloid</t>
        </is>
      </c>
      <c r="C1134" t="n">
        <v>4.3</v>
      </c>
      <c r="D1134" t="n">
        <v>5</v>
      </c>
      <c r="E1134" t="n">
        <v>-100.8</v>
      </c>
      <c r="F1134" t="inlineStr">
        <is>
          <t>C1</t>
        </is>
      </c>
      <c r="G1134" t="inlineStr">
        <is>
          <t>5.057627125</t>
        </is>
      </c>
      <c r="H1134" t="n">
        <v>-100.7700697</v>
      </c>
      <c r="I1134" t="inlineStr">
        <is>
          <t>C1</t>
        </is>
      </c>
      <c r="J1134" t="n">
        <v>0.0584678056063389</v>
      </c>
      <c r="K1134" t="inlineStr"/>
      <c r="L1134" t="n">
        <v>0.7534</v>
      </c>
      <c r="M1134" t="n">
        <v>0.853166665</v>
      </c>
      <c r="N1134" t="inlineStr">
        <is>
          <t>Yes</t>
        </is>
      </c>
      <c r="O1134" t="inlineStr">
        <is>
          <t>improve</t>
        </is>
      </c>
      <c r="P1134" t="inlineStr">
        <is>
          <t>adjusted decimals</t>
        </is>
      </c>
      <c r="Q1134" t="inlineStr"/>
      <c r="R1134" t="inlineStr"/>
      <c r="S1134">
        <f>HYPERLINK("https://helical-indexing-hi3d.streamlit.app/?emd_id=emd-27100&amp;rise=5.057627125&amp;twist=-100.7700697&amp;csym=1&amp;rise2=5.0&amp;twist2=-100.8&amp;csym2=1", "Link")</f>
        <v/>
      </c>
    </row>
    <row r="1135">
      <c r="A1135" t="inlineStr">
        <is>
          <t>EMD-25879</t>
        </is>
      </c>
      <c r="B1135" t="inlineStr">
        <is>
          <t>non-amyloid</t>
        </is>
      </c>
      <c r="C1135" t="n">
        <v>4.3</v>
      </c>
      <c r="D1135" t="n">
        <v>33.9</v>
      </c>
      <c r="E1135" t="n">
        <v>58.8</v>
      </c>
      <c r="F1135" t="inlineStr">
        <is>
          <t>C1</t>
        </is>
      </c>
      <c r="G1135" t="inlineStr">
        <is>
          <t>33.9</t>
        </is>
      </c>
      <c r="H1135" t="n">
        <v>58.8</v>
      </c>
      <c r="I1135" t="inlineStr">
        <is>
          <t>C1</t>
        </is>
      </c>
      <c r="J1135" t="n">
        <v>0</v>
      </c>
      <c r="K1135" t="inlineStr"/>
      <c r="L1135" t="n">
        <v>0.9971100000000001</v>
      </c>
      <c r="M1135" t="n">
        <v>0.9971100000000001</v>
      </c>
      <c r="N1135" t="inlineStr">
        <is>
          <t>Yes</t>
        </is>
      </c>
      <c r="O1135" t="inlineStr">
        <is>
          <t>equal</t>
        </is>
      </c>
      <c r="P1135" t="inlineStr">
        <is>
          <t>deposited</t>
        </is>
      </c>
      <c r="Q1135" t="inlineStr"/>
      <c r="R1135" t="inlineStr"/>
      <c r="S1135">
        <f>HYPERLINK("https://helical-indexing-hi3d.streamlit.app/?emd_id=emd-25879&amp;rise=33.9&amp;twist=58.8&amp;csym=1&amp;rise2=33.9&amp;twist2=58.8&amp;csym2=1", "Link")</f>
        <v/>
      </c>
    </row>
    <row r="1136">
      <c r="A1136" t="inlineStr">
        <is>
          <t>EMD-8856</t>
        </is>
      </c>
      <c r="B1136" t="inlineStr">
        <is>
          <t>non-amyloid</t>
        </is>
      </c>
      <c r="C1136" t="n">
        <v>4.3</v>
      </c>
      <c r="D1136" t="n">
        <v>4.73</v>
      </c>
      <c r="E1136" t="n">
        <v>65.27</v>
      </c>
      <c r="F1136" t="inlineStr">
        <is>
          <t>C1</t>
        </is>
      </c>
      <c r="G1136" t="inlineStr">
        <is>
          <t>4.729610722</t>
        </is>
      </c>
      <c r="H1136" t="n">
        <v>65.2704145</v>
      </c>
      <c r="I1136" t="inlineStr">
        <is>
          <t>C1</t>
        </is>
      </c>
      <c r="J1136" t="n">
        <v>0.000512877</v>
      </c>
      <c r="K1136" t="inlineStr"/>
      <c r="L1136" t="n">
        <v>0.9881799999999999</v>
      </c>
      <c r="M1136" t="n">
        <v>0.988180759</v>
      </c>
      <c r="N1136" t="inlineStr">
        <is>
          <t>Yes</t>
        </is>
      </c>
      <c r="O1136" t="inlineStr">
        <is>
          <t>improve</t>
        </is>
      </c>
      <c r="P1136" t="inlineStr">
        <is>
          <t>adjusted decimals</t>
        </is>
      </c>
      <c r="Q1136" t="inlineStr"/>
      <c r="R1136" t="inlineStr"/>
      <c r="S1136">
        <f>HYPERLINK("https://helical-indexing-hi3d.streamlit.app/?emd_id=emd-8856&amp;rise=4.729610722&amp;twist=65.2704145&amp;csym=1&amp;rise2=4.73&amp;twist2=65.27&amp;csym2=1", "Link")</f>
        <v/>
      </c>
    </row>
    <row r="1137">
      <c r="A1137" t="inlineStr">
        <is>
          <t>EMD-9020</t>
        </is>
      </c>
      <c r="B1137" t="inlineStr">
        <is>
          <t>non-amyloid</t>
        </is>
      </c>
      <c r="C1137" t="n">
        <v>4.3</v>
      </c>
      <c r="D1137" t="n">
        <v>8.295310000000001</v>
      </c>
      <c r="E1137" t="n">
        <v>-88.17</v>
      </c>
      <c r="F1137" t="inlineStr">
        <is>
          <t>C1</t>
        </is>
      </c>
      <c r="G1137" t="inlineStr">
        <is>
          <t>8.253012343</t>
        </is>
      </c>
      <c r="H1137" t="n">
        <v>-88.12730462</v>
      </c>
      <c r="I1137" t="inlineStr">
        <is>
          <t>C1</t>
        </is>
      </c>
      <c r="J1137" t="n">
        <v>0.044745159</v>
      </c>
      <c r="K1137" t="inlineStr"/>
      <c r="L1137" t="n">
        <v>0.9129</v>
      </c>
      <c r="M1137" t="n">
        <v>0.9129933569999999</v>
      </c>
      <c r="N1137" t="inlineStr">
        <is>
          <t>Yes</t>
        </is>
      </c>
      <c r="O1137" t="inlineStr">
        <is>
          <t>improve</t>
        </is>
      </c>
      <c r="P1137" t="inlineStr">
        <is>
          <t>adjusted decimals</t>
        </is>
      </c>
      <c r="Q1137" t="inlineStr"/>
      <c r="R1137" t="inlineStr"/>
      <c r="S1137">
        <f>HYPERLINK("https://helical-indexing-hi3d.streamlit.app/?emd_id=emd-9020&amp;rise=8.253012343&amp;twist=-88.12730462&amp;csym=1&amp;rise2=8.29531&amp;twist2=-88.17&amp;csym2=1", "Link")</f>
        <v/>
      </c>
    </row>
    <row r="1138">
      <c r="A1138" t="inlineStr">
        <is>
          <t>EMD-12294</t>
        </is>
      </c>
      <c r="B1138" t="inlineStr">
        <is>
          <t>non-amyloid</t>
        </is>
      </c>
      <c r="C1138" t="n">
        <v>4.3</v>
      </c>
      <c r="D1138" t="n">
        <v>45.0795</v>
      </c>
      <c r="E1138" t="n">
        <v>88.02970000000001</v>
      </c>
      <c r="F1138" t="inlineStr">
        <is>
          <t>C1</t>
        </is>
      </c>
      <c r="G1138" t="inlineStr">
        <is>
          <t>45.53449469</t>
        </is>
      </c>
      <c r="H1138" t="n">
        <v>88.34262819</v>
      </c>
      <c r="I1138" t="inlineStr">
        <is>
          <t>C1</t>
        </is>
      </c>
      <c r="J1138" t="n">
        <v>0.4625416274620034</v>
      </c>
      <c r="K1138" t="inlineStr"/>
      <c r="L1138" t="n">
        <v>0.87246</v>
      </c>
      <c r="M1138" t="n">
        <v>0.881616371</v>
      </c>
      <c r="N1138" t="inlineStr">
        <is>
          <t>Yes</t>
        </is>
      </c>
      <c r="O1138" t="inlineStr">
        <is>
          <t>improve</t>
        </is>
      </c>
      <c r="P1138" t="inlineStr">
        <is>
          <t>adjusted decimals</t>
        </is>
      </c>
      <c r="Q1138" t="inlineStr"/>
      <c r="R1138" t="inlineStr"/>
      <c r="S1138">
        <f>HYPERLINK("https://helical-indexing-hi3d.streamlit.app/?emd_id=emd-12294&amp;rise=45.53449469&amp;twist=88.34262819&amp;csym=1&amp;rise2=45.0795&amp;twist2=88.0297&amp;csym2=1", "Link")</f>
        <v/>
      </c>
    </row>
    <row r="1139">
      <c r="A1139" t="inlineStr">
        <is>
          <t>EMD-24587</t>
        </is>
      </c>
      <c r="B1139" t="inlineStr">
        <is>
          <t>non-amyloid</t>
        </is>
      </c>
      <c r="C1139" t="n">
        <v>4.3</v>
      </c>
      <c r="D1139" t="n">
        <v>0.7</v>
      </c>
      <c r="E1139" t="n">
        <v>-155.5</v>
      </c>
      <c r="F1139" t="inlineStr">
        <is>
          <t>C1</t>
        </is>
      </c>
      <c r="G1139" t="inlineStr">
        <is>
          <t>0.7</t>
        </is>
      </c>
      <c r="H1139" t="n">
        <v>-155.5</v>
      </c>
      <c r="I1139" t="inlineStr">
        <is>
          <t>C1</t>
        </is>
      </c>
      <c r="J1139" t="n">
        <v>0</v>
      </c>
      <c r="K1139" t="inlineStr">
        <is>
          <t> </t>
        </is>
      </c>
      <c r="L1139" t="n">
        <v>0.96065332</v>
      </c>
      <c r="M1139" t="n">
        <v>0.96065332</v>
      </c>
      <c r="N1139" t="inlineStr">
        <is>
          <t>Yes</t>
        </is>
      </c>
      <c r="O1139" t="inlineStr">
        <is>
          <t>equal</t>
        </is>
      </c>
      <c r="P1139" t="inlineStr">
        <is>
          <t>deposited</t>
        </is>
      </c>
      <c r="Q1139" t="inlineStr"/>
      <c r="R1139" t="inlineStr"/>
      <c r="S1139">
        <f>HYPERLINK("https://helical-indexing-hi3d.streamlit.app/?emd_id=emd-24587&amp;rise=0.7&amp;twist=-155.5&amp;csym=1&amp;rise2=0.7&amp;twist2=-155.5&amp;csym2=1", "Link")</f>
        <v/>
      </c>
    </row>
    <row r="1140">
      <c r="A1140" t="inlineStr">
        <is>
          <t>EMD-13780</t>
        </is>
      </c>
      <c r="B1140" t="inlineStr">
        <is>
          <t>non-amyloid</t>
        </is>
      </c>
      <c r="C1140" t="n">
        <v>4.3</v>
      </c>
      <c r="D1140" t="n">
        <v>1.408</v>
      </c>
      <c r="E1140" t="n">
        <v>22.03</v>
      </c>
      <c r="F1140" t="inlineStr">
        <is>
          <t>C1</t>
        </is>
      </c>
      <c r="G1140" t="inlineStr">
        <is>
          <t>1.408</t>
        </is>
      </c>
      <c r="H1140" t="n">
        <v>22.03</v>
      </c>
      <c r="I1140" t="inlineStr">
        <is>
          <t>C1</t>
        </is>
      </c>
      <c r="J1140" t="n">
        <v>0</v>
      </c>
      <c r="K1140" t="inlineStr"/>
      <c r="L1140" t="n">
        <v>0.92467</v>
      </c>
      <c r="M1140" t="n">
        <v>0.92467</v>
      </c>
      <c r="N1140" t="inlineStr">
        <is>
          <t>Yes</t>
        </is>
      </c>
      <c r="O1140" t="inlineStr">
        <is>
          <t>equal</t>
        </is>
      </c>
      <c r="P1140" t="inlineStr">
        <is>
          <t>deposited</t>
        </is>
      </c>
      <c r="Q1140" t="inlineStr"/>
      <c r="R1140" t="inlineStr"/>
      <c r="S1140">
        <f>HYPERLINK("https://helical-indexing-hi3d.streamlit.app/?emd_id=emd-13780&amp;rise=1.408&amp;twist=22.03&amp;csym=1&amp;rise2=1.408&amp;twist2=22.03&amp;csym2=1", "Link")</f>
        <v/>
      </c>
    </row>
    <row r="1141">
      <c r="A1141" t="inlineStr">
        <is>
          <t>EMD-13779</t>
        </is>
      </c>
      <c r="B1141" t="inlineStr">
        <is>
          <t>non-amyloid</t>
        </is>
      </c>
      <c r="C1141" t="n">
        <v>4.3</v>
      </c>
      <c r="D1141" t="n">
        <v>1.408</v>
      </c>
      <c r="E1141" t="n">
        <v>22.03</v>
      </c>
      <c r="F1141" t="inlineStr">
        <is>
          <t>C1</t>
        </is>
      </c>
      <c r="G1141" t="inlineStr">
        <is>
          <t>1.408</t>
        </is>
      </c>
      <c r="H1141" t="n">
        <v>22.03</v>
      </c>
      <c r="I1141" t="inlineStr">
        <is>
          <t>C1</t>
        </is>
      </c>
      <c r="J1141" t="n">
        <v>0</v>
      </c>
      <c r="K1141" t="inlineStr"/>
      <c r="L1141" t="n">
        <v>0.9861</v>
      </c>
      <c r="M1141" t="n">
        <v>0.9861</v>
      </c>
      <c r="N1141" t="inlineStr">
        <is>
          <t>Yes</t>
        </is>
      </c>
      <c r="O1141" t="inlineStr">
        <is>
          <t>equal</t>
        </is>
      </c>
      <c r="P1141" t="inlineStr">
        <is>
          <t>deposited</t>
        </is>
      </c>
      <c r="Q1141" t="inlineStr"/>
      <c r="R1141" t="inlineStr"/>
      <c r="S1141">
        <f>HYPERLINK("https://helical-indexing-hi3d.streamlit.app/?emd_id=emd-13779&amp;rise=1.408&amp;twist=22.03&amp;csym=1&amp;rise2=1.408&amp;twist2=22.03&amp;csym2=1", "Link")</f>
        <v/>
      </c>
    </row>
    <row r="1142">
      <c r="A1142" t="inlineStr">
        <is>
          <t>EMD-17034</t>
        </is>
      </c>
      <c r="B1142" t="inlineStr">
        <is>
          <t>non-amyloid</t>
        </is>
      </c>
      <c r="C1142" t="n">
        <v>4.3</v>
      </c>
      <c r="D1142" t="n">
        <v>6.58</v>
      </c>
      <c r="E1142" t="n">
        <v>-36</v>
      </c>
      <c r="F1142" t="inlineStr">
        <is>
          <t>C1</t>
        </is>
      </c>
      <c r="G1142" t="inlineStr">
        <is>
          <t>6.58</t>
        </is>
      </c>
      <c r="H1142" t="n">
        <v>-36</v>
      </c>
      <c r="I1142" t="inlineStr">
        <is>
          <t>C1</t>
        </is>
      </c>
      <c r="J1142" t="n">
        <v>0</v>
      </c>
      <c r="K1142" t="inlineStr"/>
      <c r="L1142" t="n">
        <v>0.966458595</v>
      </c>
      <c r="M1142" t="n">
        <v>0.966458595</v>
      </c>
      <c r="N1142" t="inlineStr">
        <is>
          <t>Yes</t>
        </is>
      </c>
      <c r="O1142" t="inlineStr">
        <is>
          <t>equal</t>
        </is>
      </c>
      <c r="P1142" t="inlineStr">
        <is>
          <t>deposited</t>
        </is>
      </c>
      <c r="Q1142" t="inlineStr"/>
      <c r="R1142" t="inlineStr"/>
      <c r="S1142">
        <f>HYPERLINK("https://helical-indexing-hi3d.streamlit.app/?emd_id=emd-17034&amp;rise=6.58&amp;twist=-36.0&amp;csym=1&amp;rise2=6.58&amp;twist2=-36.0&amp;csym2=1", "Link")</f>
        <v/>
      </c>
    </row>
    <row r="1143">
      <c r="A1143" t="inlineStr">
        <is>
          <t>EMD-22370</t>
        </is>
      </c>
      <c r="B1143" t="inlineStr">
        <is>
          <t>non-amyloid</t>
        </is>
      </c>
      <c r="C1143" t="n">
        <v>4.3</v>
      </c>
      <c r="D1143" t="n">
        <v>46.8426</v>
      </c>
      <c r="E1143" t="n">
        <v>86.9406</v>
      </c>
      <c r="F1143" t="inlineStr">
        <is>
          <t>C1</t>
        </is>
      </c>
      <c r="G1143" t="inlineStr">
        <is>
          <t>46.8426</t>
        </is>
      </c>
      <c r="H1143" t="n">
        <v>86.9406</v>
      </c>
      <c r="I1143" t="inlineStr">
        <is>
          <t>C1</t>
        </is>
      </c>
      <c r="J1143" t="n">
        <v>0</v>
      </c>
      <c r="K1143" t="inlineStr"/>
      <c r="L1143" t="n">
        <v>0.93347</v>
      </c>
      <c r="M1143" t="n">
        <v>0.93347</v>
      </c>
      <c r="N1143" t="inlineStr">
        <is>
          <t>Yes</t>
        </is>
      </c>
      <c r="O1143" t="inlineStr">
        <is>
          <t>equal</t>
        </is>
      </c>
      <c r="P1143" t="inlineStr">
        <is>
          <t>deposited</t>
        </is>
      </c>
      <c r="Q1143" t="inlineStr"/>
      <c r="R1143" t="inlineStr"/>
      <c r="S1143">
        <f>HYPERLINK("https://helical-indexing-hi3d.streamlit.app/?emd_id=emd-22370&amp;rise=46.8426&amp;twist=86.9406&amp;csym=1&amp;rise2=46.8426&amp;twist2=86.9406&amp;csym2=1", "Link")</f>
        <v/>
      </c>
    </row>
    <row r="1144">
      <c r="A1144" t="inlineStr">
        <is>
          <t>EMD-29249</t>
        </is>
      </c>
      <c r="B1144" t="inlineStr">
        <is>
          <t>non-amyloid</t>
        </is>
      </c>
      <c r="C1144" t="n">
        <v>4.3</v>
      </c>
      <c r="D1144" t="n">
        <v>4.87</v>
      </c>
      <c r="E1144" t="n">
        <v>108.92</v>
      </c>
      <c r="F1144" t="inlineStr">
        <is>
          <t>C1</t>
        </is>
      </c>
      <c r="G1144" t="inlineStr">
        <is>
          <t>4.87</t>
        </is>
      </c>
      <c r="H1144" t="n">
        <v>108.92</v>
      </c>
      <c r="I1144" t="inlineStr">
        <is>
          <t>C1</t>
        </is>
      </c>
      <c r="J1144" t="n">
        <v>0</v>
      </c>
      <c r="K1144" t="inlineStr"/>
      <c r="L1144" t="n">
        <v>0.89649</v>
      </c>
      <c r="M1144" t="n">
        <v>0.89649</v>
      </c>
      <c r="N1144" t="inlineStr">
        <is>
          <t>Yes</t>
        </is>
      </c>
      <c r="O1144" t="inlineStr">
        <is>
          <t>equal</t>
        </is>
      </c>
      <c r="P1144" t="inlineStr">
        <is>
          <t>deposited</t>
        </is>
      </c>
      <c r="Q1144" t="inlineStr"/>
      <c r="R1144" t="inlineStr"/>
      <c r="S1144">
        <f>HYPERLINK("https://helical-indexing-hi3d.streamlit.app/?emd_id=emd-29249&amp;rise=4.87&amp;twist=108.92&amp;csym=1&amp;rise2=4.87&amp;twist2=108.92&amp;csym2=1", "Link")</f>
        <v/>
      </c>
    </row>
    <row r="1145">
      <c r="A1145" t="inlineStr">
        <is>
          <t>EMD-24597</t>
        </is>
      </c>
      <c r="B1145" t="inlineStr">
        <is>
          <t>non-amyloid</t>
        </is>
      </c>
      <c r="C1145" t="n">
        <v>4.3</v>
      </c>
      <c r="D1145" t="n">
        <v>0.58</v>
      </c>
      <c r="E1145" t="n">
        <v>101.831</v>
      </c>
      <c r="F1145" t="inlineStr">
        <is>
          <t>C1</t>
        </is>
      </c>
      <c r="G1145" t="inlineStr">
        <is>
          <t>0.58</t>
        </is>
      </c>
      <c r="H1145" t="n">
        <v>101.831</v>
      </c>
      <c r="I1145" t="inlineStr">
        <is>
          <t>C1</t>
        </is>
      </c>
      <c r="J1145" t="n">
        <v>0</v>
      </c>
      <c r="K1145" t="inlineStr"/>
      <c r="L1145" t="n">
        <v>0.87532741</v>
      </c>
      <c r="M1145" t="n">
        <v>0.87532741</v>
      </c>
      <c r="N1145" t="inlineStr">
        <is>
          <t>Yes</t>
        </is>
      </c>
      <c r="O1145" t="inlineStr">
        <is>
          <t>equal</t>
        </is>
      </c>
      <c r="P1145" t="inlineStr">
        <is>
          <t>deposited</t>
        </is>
      </c>
      <c r="Q1145" t="inlineStr"/>
      <c r="R1145" t="inlineStr"/>
      <c r="S1145">
        <f>HYPERLINK("https://helical-indexing-hi3d.streamlit.app/?emd_id=emd-24597&amp;rise=0.58&amp;twist=101.831&amp;csym=1&amp;rise2=0.58&amp;twist2=101.831&amp;csym2=1", "Link")</f>
        <v/>
      </c>
    </row>
    <row r="1146">
      <c r="A1146" t="inlineStr">
        <is>
          <t>EMD-25747</t>
        </is>
      </c>
      <c r="B1146" t="inlineStr">
        <is>
          <t>non-amyloid</t>
        </is>
      </c>
      <c r="C1146" t="n">
        <v>4.3</v>
      </c>
      <c r="D1146" t="n">
        <v>8.300000000000001</v>
      </c>
      <c r="E1146" t="n">
        <v>28.6</v>
      </c>
      <c r="F1146" t="inlineStr">
        <is>
          <t>C6</t>
        </is>
      </c>
      <c r="G1146" t="inlineStr">
        <is>
          <t>8.3</t>
        </is>
      </c>
      <c r="H1146" t="n">
        <v>28.6</v>
      </c>
      <c r="I1146" t="inlineStr">
        <is>
          <t>C6</t>
        </is>
      </c>
      <c r="J1146" t="n">
        <v>0</v>
      </c>
      <c r="K1146" t="inlineStr"/>
      <c r="L1146" t="n">
        <v>0.890382133</v>
      </c>
      <c r="M1146" t="n">
        <v>0.890382133</v>
      </c>
      <c r="N1146" t="inlineStr">
        <is>
          <t>Yes</t>
        </is>
      </c>
      <c r="O1146" t="inlineStr">
        <is>
          <t>equal</t>
        </is>
      </c>
      <c r="P1146" t="inlineStr">
        <is>
          <t>deposited</t>
        </is>
      </c>
      <c r="Q1146" t="inlineStr"/>
      <c r="R1146" t="inlineStr"/>
      <c r="S1146">
        <f>HYPERLINK("https://helical-indexing-hi3d.streamlit.app/?emd_id=emd-25747&amp;rise=8.3&amp;twist=28.6&amp;csym=6&amp;rise2=8.3&amp;twist2=28.6&amp;csym2=6", "Link")</f>
        <v/>
      </c>
    </row>
    <row r="1147">
      <c r="A1147" t="inlineStr">
        <is>
          <t>EMD-8848</t>
        </is>
      </c>
      <c r="B1147" t="inlineStr">
        <is>
          <t>non-amyloid</t>
        </is>
      </c>
      <c r="C1147" t="n">
        <v>4.3</v>
      </c>
      <c r="D1147" t="n">
        <v>4.65</v>
      </c>
      <c r="E1147" t="n">
        <v>65.81</v>
      </c>
      <c r="F1147" t="inlineStr">
        <is>
          <t>C1</t>
        </is>
      </c>
      <c r="G1147" t="inlineStr">
        <is>
          <t>4.65</t>
        </is>
      </c>
      <c r="H1147" t="n">
        <v>65.81</v>
      </c>
      <c r="I1147" t="inlineStr">
        <is>
          <t>C1</t>
        </is>
      </c>
      <c r="J1147" t="n">
        <v>0</v>
      </c>
      <c r="K1147" t="inlineStr"/>
      <c r="L1147" t="n">
        <v>0.971656041</v>
      </c>
      <c r="M1147" t="n">
        <v>0.971656041</v>
      </c>
      <c r="N1147" t="inlineStr">
        <is>
          <t>Yes</t>
        </is>
      </c>
      <c r="O1147" t="inlineStr">
        <is>
          <t>equal</t>
        </is>
      </c>
      <c r="P1147" t="inlineStr">
        <is>
          <t>deposited</t>
        </is>
      </c>
      <c r="Q1147" t="inlineStr"/>
      <c r="R1147" t="inlineStr"/>
      <c r="S1147">
        <f>HYPERLINK("https://helical-indexing-hi3d.streamlit.app/?emd_id=emd-8848&amp;rise=4.65&amp;twist=65.81&amp;csym=1&amp;rise2=4.65&amp;twist2=65.81&amp;csym2=1", "Link")</f>
        <v/>
      </c>
    </row>
    <row r="1148">
      <c r="A1148" t="inlineStr">
        <is>
          <t>EMD-34081</t>
        </is>
      </c>
      <c r="B1148" t="inlineStr">
        <is>
          <t>non-amyloid</t>
        </is>
      </c>
      <c r="C1148" t="n">
        <v>4.3</v>
      </c>
      <c r="D1148" t="n">
        <v>10.81</v>
      </c>
      <c r="E1148" t="n">
        <v>-23.83</v>
      </c>
      <c r="F1148" t="inlineStr">
        <is>
          <t>C1</t>
        </is>
      </c>
      <c r="G1148" t="inlineStr">
        <is>
          <t>5.4</t>
        </is>
      </c>
      <c r="H1148" t="n">
        <v>168.09</v>
      </c>
      <c r="I1148" t="inlineStr">
        <is>
          <t>C1</t>
        </is>
      </c>
      <c r="J1148" t="n">
        <v>60.25843118451792</v>
      </c>
      <c r="K1148" t="inlineStr"/>
      <c r="L1148" t="n">
        <v>0.919198743</v>
      </c>
      <c r="M1148" t="n">
        <v>0.915123143</v>
      </c>
      <c r="N1148" t="inlineStr">
        <is>
          <t>Yes</t>
        </is>
      </c>
      <c r="O1148" t="inlineStr">
        <is>
          <t>improve</t>
        </is>
      </c>
      <c r="P1148" t="inlineStr">
        <is>
          <t>different</t>
        </is>
      </c>
      <c r="Q1148" t="inlineStr">
        <is>
          <t>partial symmetry</t>
        </is>
      </c>
      <c r="R1148" t="inlineStr"/>
      <c r="S1148">
        <f>HYPERLINK("https://helical-indexing-hi3d.streamlit.app/?emd_id=emd-34081&amp;rise=5.4&amp;twist=168.09&amp;csym=1&amp;rise2=10.81&amp;twist2=-23.83&amp;csym2=1", "Link")</f>
        <v/>
      </c>
    </row>
    <row r="1149">
      <c r="A1149" t="inlineStr">
        <is>
          <t>EMD-28722</t>
        </is>
      </c>
      <c r="B1149" t="inlineStr">
        <is>
          <t>non-amyloid</t>
        </is>
      </c>
      <c r="C1149" t="n">
        <v>4.3</v>
      </c>
      <c r="D1149" t="n">
        <v>3</v>
      </c>
      <c r="E1149" t="n">
        <v>20</v>
      </c>
      <c r="F1149" t="inlineStr">
        <is>
          <t>C1</t>
        </is>
      </c>
      <c r="G1149" t="inlineStr">
        <is>
          <t>2.962501256</t>
        </is>
      </c>
      <c r="H1149" t="n">
        <v>19.96296227</v>
      </c>
      <c r="I1149" t="inlineStr">
        <is>
          <t>C1</t>
        </is>
      </c>
      <c r="J1149" t="n">
        <v>0.059429914</v>
      </c>
      <c r="K1149" t="inlineStr"/>
      <c r="L1149" t="n">
        <v>0.812283258</v>
      </c>
      <c r="M1149" t="n">
        <v>0.84857227</v>
      </c>
      <c r="N1149" t="inlineStr">
        <is>
          <t>Yes</t>
        </is>
      </c>
      <c r="O1149" t="inlineStr">
        <is>
          <t>improve</t>
        </is>
      </c>
      <c r="P1149" t="inlineStr">
        <is>
          <t>adjusted decimals</t>
        </is>
      </c>
      <c r="Q1149" t="inlineStr"/>
      <c r="R1149" t="inlineStr"/>
      <c r="S1149">
        <f>HYPERLINK("https://helical-indexing-hi3d.streamlit.app/?emd_id=emd-28722&amp;rise=2.962501256&amp;twist=19.96296227&amp;csym=1&amp;rise2=3.0&amp;twist2=20.0&amp;csym2=1", "Link")</f>
        <v/>
      </c>
    </row>
    <row r="1150">
      <c r="A1150" t="inlineStr">
        <is>
          <t>EMD-7976</t>
        </is>
      </c>
      <c r="B1150" t="inlineStr">
        <is>
          <t>microtubule</t>
        </is>
      </c>
      <c r="C1150" t="n">
        <v>4.3</v>
      </c>
      <c r="D1150" t="n">
        <v>8.957000000000001</v>
      </c>
      <c r="E1150" t="n">
        <v>-25.769</v>
      </c>
      <c r="F1150" t="inlineStr">
        <is>
          <t>C1</t>
        </is>
      </c>
      <c r="G1150" t="inlineStr">
        <is>
          <t>8.957</t>
        </is>
      </c>
      <c r="H1150" t="n">
        <v>-25.769</v>
      </c>
      <c r="I1150" t="inlineStr">
        <is>
          <t>C1</t>
        </is>
      </c>
      <c r="J1150" t="n">
        <v>0</v>
      </c>
      <c r="K1150" t="inlineStr"/>
      <c r="L1150" t="n">
        <v>0.667099291</v>
      </c>
      <c r="M1150" t="n">
        <v>0.667099291</v>
      </c>
      <c r="N1150" t="inlineStr">
        <is>
          <t>No</t>
        </is>
      </c>
      <c r="O1150" t="inlineStr">
        <is>
          <t>equal</t>
        </is>
      </c>
      <c r="P1150" t="inlineStr">
        <is>
          <t>deposited</t>
        </is>
      </c>
      <c r="Q1150" t="inlineStr"/>
      <c r="R1150" t="inlineStr"/>
      <c r="S1150">
        <f>HYPERLINK("https://helical-indexing-hi3d.streamlit.app/?emd_id=emd-7976&amp;rise=8.957&amp;twist=-25.769&amp;csym=1&amp;rise2=8.957&amp;twist2=-25.769&amp;csym2=1", "Link")</f>
        <v/>
      </c>
    </row>
    <row r="1151">
      <c r="A1151" t="inlineStr">
        <is>
          <t>EMD-22808</t>
        </is>
      </c>
      <c r="B1151" t="inlineStr">
        <is>
          <t>non-amyloid</t>
        </is>
      </c>
      <c r="C1151" t="n">
        <v>4.33</v>
      </c>
      <c r="D1151" t="n">
        <v>27.45</v>
      </c>
      <c r="E1151" t="n">
        <v>-167.11</v>
      </c>
      <c r="F1151" t="inlineStr">
        <is>
          <t>C1</t>
        </is>
      </c>
      <c r="G1151" t="inlineStr">
        <is>
          <t>27.7920156</t>
        </is>
      </c>
      <c r="H1151" t="n">
        <v>-166.8585449</v>
      </c>
      <c r="I1151" t="inlineStr">
        <is>
          <t>C1</t>
        </is>
      </c>
      <c r="J1151" t="n">
        <v>0.3590556794726168</v>
      </c>
      <c r="K1151" t="inlineStr"/>
      <c r="L1151" t="n">
        <v>0.877242656</v>
      </c>
      <c r="M1151" t="n">
        <v>0.903180631</v>
      </c>
      <c r="N1151" t="inlineStr">
        <is>
          <t>Yes</t>
        </is>
      </c>
      <c r="O1151" t="inlineStr">
        <is>
          <t>improve</t>
        </is>
      </c>
      <c r="P1151" t="inlineStr">
        <is>
          <t>adjusted decimals</t>
        </is>
      </c>
      <c r="Q1151" t="inlineStr"/>
      <c r="R1151" t="inlineStr"/>
      <c r="S1151">
        <f>HYPERLINK("https://helical-indexing-hi3d.streamlit.app/?emd_id=emd-22808&amp;rise=27.7920156&amp;twist=-166.8585449&amp;csym=1&amp;rise2=27.45&amp;twist2=-167.11&amp;csym2=1", "Link")</f>
        <v/>
      </c>
    </row>
    <row r="1152">
      <c r="A1152" t="inlineStr">
        <is>
          <t>EMD-18366</t>
        </is>
      </c>
      <c r="B1152" t="inlineStr">
        <is>
          <t>non-amyloid</t>
        </is>
      </c>
      <c r="C1152" t="n">
        <v>4.33</v>
      </c>
      <c r="D1152" t="n">
        <v>1.9</v>
      </c>
      <c r="E1152" t="n">
        <v>119.54</v>
      </c>
      <c r="F1152" t="inlineStr">
        <is>
          <t>C1</t>
        </is>
      </c>
      <c r="G1152" t="inlineStr">
        <is>
          <t>1.9</t>
        </is>
      </c>
      <c r="H1152" t="n">
        <v>119.54</v>
      </c>
      <c r="I1152" t="inlineStr">
        <is>
          <t>C1</t>
        </is>
      </c>
      <c r="J1152" t="n">
        <v>0</v>
      </c>
      <c r="K1152" t="inlineStr"/>
      <c r="L1152" t="n">
        <v>0.967860486</v>
      </c>
      <c r="M1152" t="n">
        <v>0.967860486</v>
      </c>
      <c r="N1152" t="inlineStr">
        <is>
          <t>Yes</t>
        </is>
      </c>
      <c r="O1152" t="inlineStr">
        <is>
          <t>equal</t>
        </is>
      </c>
      <c r="P1152" t="inlineStr">
        <is>
          <t>deposited</t>
        </is>
      </c>
      <c r="Q1152" t="inlineStr"/>
      <c r="R1152" t="inlineStr"/>
      <c r="S1152">
        <f>HYPERLINK("https://helical-indexing-hi3d.streamlit.app/?emd_id=emd-18366&amp;rise=1.9&amp;twist=119.54&amp;csym=1&amp;rise2=1.9&amp;twist2=119.54&amp;csym2=1", "Link")</f>
        <v/>
      </c>
    </row>
    <row r="1153">
      <c r="A1153" t="inlineStr">
        <is>
          <t>EMD-13547</t>
        </is>
      </c>
      <c r="B1153" t="inlineStr">
        <is>
          <t>non-amyloid</t>
        </is>
      </c>
      <c r="C1153" t="n">
        <v>4.35</v>
      </c>
      <c r="D1153" t="n">
        <v>28.156</v>
      </c>
      <c r="E1153" t="n">
        <v>85.98399999999999</v>
      </c>
      <c r="F1153" t="inlineStr">
        <is>
          <t>D1</t>
        </is>
      </c>
      <c r="G1153" t="inlineStr">
        <is>
          <t>28.156</t>
        </is>
      </c>
      <c r="H1153" t="n">
        <v>85.98399999999999</v>
      </c>
      <c r="I1153" t="inlineStr">
        <is>
          <t>CD1</t>
        </is>
      </c>
      <c r="J1153" t="n">
        <v>0</v>
      </c>
      <c r="K1153" t="inlineStr"/>
      <c r="L1153" t="n">
        <v>0.87146</v>
      </c>
      <c r="M1153" t="n">
        <v>0.87146</v>
      </c>
      <c r="N1153" t="inlineStr">
        <is>
          <t>Yes</t>
        </is>
      </c>
      <c r="O1153" t="inlineStr">
        <is>
          <t>equal</t>
        </is>
      </c>
      <c r="P1153" t="inlineStr">
        <is>
          <t>deposited</t>
        </is>
      </c>
      <c r="Q1153" t="inlineStr"/>
      <c r="R1153" t="inlineStr"/>
      <c r="S1153">
        <f>HYPERLINK("https://helical-indexing-hi3d.streamlit.app/?emd_id=emd-13547&amp;rise=28.156&amp;twist=85.984&amp;csym=D1&amp;rise2=28.156&amp;twist2=85.984&amp;csym2=1", "Link")</f>
        <v/>
      </c>
    </row>
    <row r="1154">
      <c r="A1154" t="inlineStr">
        <is>
          <t>EMD-1316</t>
        </is>
      </c>
      <c r="B1154" t="inlineStr">
        <is>
          <t>non-amyloid</t>
        </is>
      </c>
      <c r="C1154" t="n">
        <v>4.4</v>
      </c>
      <c r="D1154" t="inlineStr"/>
      <c r="E1154" t="inlineStr"/>
      <c r="F1154" t="inlineStr">
        <is>
          <t>C1</t>
        </is>
      </c>
      <c r="G1154" t="inlineStr">
        <is>
          <t>1.38</t>
        </is>
      </c>
      <c r="H1154" t="n">
        <v>22.03</v>
      </c>
      <c r="I1154" t="inlineStr">
        <is>
          <t>C1</t>
        </is>
      </c>
      <c r="J1154" t="inlineStr"/>
      <c r="K1154" t="inlineStr">
        <is>
          <t> </t>
        </is>
      </c>
      <c r="L1154" t="inlineStr"/>
      <c r="M1154" t="n">
        <v>0.609173486</v>
      </c>
      <c r="N1154" t="inlineStr">
        <is>
          <t>No</t>
        </is>
      </c>
      <c r="O1154" t="inlineStr">
        <is>
          <t>improve</t>
        </is>
      </c>
      <c r="P1154" t="inlineStr">
        <is>
          <t>no EMDB values</t>
        </is>
      </c>
      <c r="Q1154" t="inlineStr"/>
      <c r="R1154" t="inlineStr"/>
      <c r="S1154">
        <f>HYPERLINK("https://helical-indexing-hi3d.streamlit.app/?emd_id=emd-1316&amp;rise=1.38&amp;twist=22.03&amp;csym=1&amp;rise2=nan&amp;twist2=nan&amp;csym2=1", "Link")</f>
        <v/>
      </c>
    </row>
    <row r="1155">
      <c r="A1155" t="inlineStr">
        <is>
          <t>EMD-0252</t>
        </is>
      </c>
      <c r="B1155" t="inlineStr">
        <is>
          <t>non-amyloid</t>
        </is>
      </c>
      <c r="C1155" t="n">
        <v>4.4</v>
      </c>
      <c r="D1155" t="n">
        <v>1.15</v>
      </c>
      <c r="E1155" t="n">
        <v>-20.7</v>
      </c>
      <c r="F1155" t="inlineStr">
        <is>
          <t>C1</t>
        </is>
      </c>
      <c r="G1155" t="inlineStr">
        <is>
          <t>1.15009267</t>
        </is>
      </c>
      <c r="H1155" t="n">
        <v>-20.72151683</v>
      </c>
      <c r="I1155" t="inlineStr">
        <is>
          <t>C1</t>
        </is>
      </c>
      <c r="J1155" t="n">
        <v>0.002874473</v>
      </c>
      <c r="K1155" t="inlineStr"/>
      <c r="L1155" t="n">
        <v>0.96295</v>
      </c>
      <c r="M1155" t="n">
        <v>0.986818559</v>
      </c>
      <c r="N1155" t="inlineStr">
        <is>
          <t>Yes</t>
        </is>
      </c>
      <c r="O1155" t="inlineStr">
        <is>
          <t>improve</t>
        </is>
      </c>
      <c r="P1155" t="inlineStr">
        <is>
          <t>adjusted decimals</t>
        </is>
      </c>
      <c r="Q1155" t="inlineStr"/>
      <c r="R1155" t="inlineStr"/>
      <c r="S1155">
        <f>HYPERLINK("https://helical-indexing-hi3d.streamlit.app/?emd_id=emd-0252&amp;rise=1.15009267&amp;twist=-20.72151683&amp;csym=1&amp;rise2=1.15&amp;twist2=-20.7&amp;csym2=1", "Link")</f>
        <v/>
      </c>
    </row>
    <row r="1156">
      <c r="A1156" t="inlineStr">
        <is>
          <t>EMD-12257</t>
        </is>
      </c>
      <c r="B1156" t="inlineStr">
        <is>
          <t>microtubule</t>
        </is>
      </c>
      <c r="C1156" t="n">
        <v>4.4</v>
      </c>
      <c r="D1156" t="n">
        <v>8.93</v>
      </c>
      <c r="E1156" t="n">
        <v>-25.75</v>
      </c>
      <c r="F1156" t="inlineStr">
        <is>
          <t>C1</t>
        </is>
      </c>
      <c r="G1156" t="inlineStr"/>
      <c r="H1156" t="inlineStr"/>
      <c r="I1156" t="inlineStr">
        <is>
          <t>C1</t>
        </is>
      </c>
      <c r="J1156" t="inlineStr"/>
      <c r="K1156" t="inlineStr"/>
      <c r="L1156" t="inlineStr"/>
      <c r="M1156" t="inlineStr"/>
      <c r="N1156" t="inlineStr">
        <is>
          <t>No</t>
        </is>
      </c>
      <c r="O1156" t="inlineStr"/>
      <c r="P1156" t="inlineStr">
        <is>
          <t>single unit</t>
        </is>
      </c>
      <c r="Q1156" t="inlineStr"/>
      <c r="R1156" t="inlineStr"/>
      <c r="S1156">
        <f>HYPERLINK("https://helical-indexing-hi3d.streamlit.app/?emd_id=emd-12257&amp;rise=nan&amp;twist=nan&amp;csym=1&amp;rise2=8.93&amp;twist2=-25.75&amp;csym2=1", "Link")</f>
        <v/>
      </c>
    </row>
    <row r="1157">
      <c r="A1157" t="inlineStr">
        <is>
          <t>EMD-10500</t>
        </is>
      </c>
      <c r="B1157" t="inlineStr">
        <is>
          <t>non-amyloid</t>
        </is>
      </c>
      <c r="C1157" t="n">
        <v>4.4</v>
      </c>
      <c r="D1157" t="n">
        <v>5.905</v>
      </c>
      <c r="E1157" t="n">
        <v>-31.17</v>
      </c>
      <c r="F1157" t="inlineStr">
        <is>
          <t>C1</t>
        </is>
      </c>
      <c r="G1157" t="inlineStr">
        <is>
          <t>5.905</t>
        </is>
      </c>
      <c r="H1157" t="n">
        <v>-31.17</v>
      </c>
      <c r="I1157" t="inlineStr">
        <is>
          <t>C1</t>
        </is>
      </c>
      <c r="J1157" t="n">
        <v>0</v>
      </c>
      <c r="K1157" t="inlineStr"/>
      <c r="L1157" t="n">
        <v>0.99661</v>
      </c>
      <c r="M1157" t="n">
        <v>0.99661</v>
      </c>
      <c r="N1157" t="inlineStr">
        <is>
          <t>Yes</t>
        </is>
      </c>
      <c r="O1157" t="inlineStr">
        <is>
          <t>equal</t>
        </is>
      </c>
      <c r="P1157" t="inlineStr">
        <is>
          <t>deposited</t>
        </is>
      </c>
      <c r="Q1157" t="inlineStr"/>
      <c r="R1157" t="inlineStr"/>
      <c r="S1157">
        <f>HYPERLINK("https://helical-indexing-hi3d.streamlit.app/?emd_id=emd-10500&amp;rise=5.905&amp;twist=-31.17&amp;csym=1&amp;rise2=5.905&amp;twist2=-31.17&amp;csym2=1", "Link")</f>
        <v/>
      </c>
    </row>
    <row r="1158">
      <c r="A1158" t="inlineStr">
        <is>
          <t>EMD-8850</t>
        </is>
      </c>
      <c r="B1158" t="inlineStr">
        <is>
          <t>non-amyloid</t>
        </is>
      </c>
      <c r="C1158" t="n">
        <v>4.4</v>
      </c>
      <c r="D1158" t="n">
        <v>4.64</v>
      </c>
      <c r="E1158" t="n">
        <v>65.81</v>
      </c>
      <c r="F1158" t="inlineStr">
        <is>
          <t>C1</t>
        </is>
      </c>
      <c r="G1158" t="inlineStr">
        <is>
          <t>4.64</t>
        </is>
      </c>
      <c r="H1158" t="n">
        <v>65.81</v>
      </c>
      <c r="I1158" t="inlineStr">
        <is>
          <t>C1</t>
        </is>
      </c>
      <c r="J1158" t="n">
        <v>0</v>
      </c>
      <c r="K1158" t="inlineStr"/>
      <c r="L1158" t="n">
        <v>0.992912967</v>
      </c>
      <c r="M1158" t="n">
        <v>0.992912967</v>
      </c>
      <c r="N1158" t="inlineStr">
        <is>
          <t>Yes</t>
        </is>
      </c>
      <c r="O1158" t="inlineStr">
        <is>
          <t>equal</t>
        </is>
      </c>
      <c r="P1158" t="inlineStr">
        <is>
          <t>deposited</t>
        </is>
      </c>
      <c r="Q1158" t="inlineStr"/>
      <c r="R1158" t="inlineStr"/>
      <c r="S1158">
        <f>HYPERLINK("https://helical-indexing-hi3d.streamlit.app/?emd_id=emd-8850&amp;rise=4.64&amp;twist=65.81&amp;csym=1&amp;rise2=4.64&amp;twist2=65.81&amp;csym2=1", "Link")</f>
        <v/>
      </c>
    </row>
    <row r="1159">
      <c r="A1159" t="inlineStr">
        <is>
          <t>EMD-15494</t>
        </is>
      </c>
      <c r="B1159" t="inlineStr">
        <is>
          <t>non-amyloid</t>
        </is>
      </c>
      <c r="C1159" t="n">
        <v>4.4</v>
      </c>
      <c r="D1159" t="n">
        <v>3.92</v>
      </c>
      <c r="E1159" t="n">
        <v>-78</v>
      </c>
      <c r="F1159" t="inlineStr">
        <is>
          <t>C2</t>
        </is>
      </c>
      <c r="G1159" t="inlineStr">
        <is>
          <t>3.914154494</t>
        </is>
      </c>
      <c r="H1159" t="n">
        <v>-78.02151051</v>
      </c>
      <c r="I1159" t="inlineStr">
        <is>
          <t>C2</t>
        </is>
      </c>
      <c r="J1159" t="n">
        <v>0.010023544</v>
      </c>
      <c r="K1159" t="inlineStr"/>
      <c r="L1159" t="n">
        <v>0.870843849</v>
      </c>
      <c r="M1159" t="n">
        <v>0.873796703</v>
      </c>
      <c r="N1159" t="inlineStr">
        <is>
          <t>Yes</t>
        </is>
      </c>
      <c r="O1159" t="inlineStr">
        <is>
          <t>improve</t>
        </is>
      </c>
      <c r="P1159" t="inlineStr">
        <is>
          <t>adjusted decimals</t>
        </is>
      </c>
      <c r="Q1159" t="inlineStr"/>
      <c r="R1159" t="inlineStr"/>
      <c r="S1159">
        <f>HYPERLINK("https://helical-indexing-hi3d.streamlit.app/?emd_id=emd-15494&amp;rise=3.914154494&amp;twist=-78.02151051&amp;csym=2&amp;rise2=3.92&amp;twist2=-78.0&amp;csym2=2", "Link")</f>
        <v/>
      </c>
    </row>
    <row r="1160">
      <c r="A1160" t="inlineStr">
        <is>
          <t>EMD-21315</t>
        </is>
      </c>
      <c r="B1160" t="inlineStr">
        <is>
          <t>microtubule</t>
        </is>
      </c>
      <c r="C1160" t="n">
        <v>4.4</v>
      </c>
      <c r="D1160" t="n">
        <v>17.4</v>
      </c>
      <c r="E1160" t="n">
        <v>-34.61</v>
      </c>
      <c r="F1160" t="inlineStr">
        <is>
          <t>C1</t>
        </is>
      </c>
      <c r="G1160" t="inlineStr"/>
      <c r="H1160" t="inlineStr"/>
      <c r="I1160" t="inlineStr">
        <is>
          <t>C1</t>
        </is>
      </c>
      <c r="J1160" t="inlineStr"/>
      <c r="K1160" t="inlineStr"/>
      <c r="L1160" t="inlineStr"/>
      <c r="M1160" t="inlineStr"/>
      <c r="N1160" t="inlineStr">
        <is>
          <t>No</t>
        </is>
      </c>
      <c r="O1160" t="inlineStr"/>
      <c r="P1160" t="inlineStr">
        <is>
          <t>single unit</t>
        </is>
      </c>
      <c r="Q1160" t="inlineStr"/>
      <c r="R1160" t="inlineStr"/>
      <c r="S1160">
        <f>HYPERLINK("https://helical-indexing-hi3d.streamlit.app/?emd_id=emd-21315&amp;rise=nan&amp;twist=nan&amp;csym=1&amp;rise2=17.4&amp;twist2=-34.61&amp;csym2=1", "Link")</f>
        <v/>
      </c>
    </row>
    <row r="1161">
      <c r="A1161" t="inlineStr">
        <is>
          <t>EMD-10239</t>
        </is>
      </c>
      <c r="B1161" t="inlineStr">
        <is>
          <t>non-amyloid</t>
        </is>
      </c>
      <c r="C1161" t="n">
        <v>4.4</v>
      </c>
      <c r="D1161" t="n">
        <v>6.95</v>
      </c>
      <c r="E1161" t="n">
        <v>-31.13</v>
      </c>
      <c r="F1161" t="inlineStr">
        <is>
          <t>C2</t>
        </is>
      </c>
      <c r="G1161" t="inlineStr"/>
      <c r="H1161" t="inlineStr"/>
      <c r="I1161" t="inlineStr">
        <is>
          <t>C1</t>
        </is>
      </c>
      <c r="J1161" t="inlineStr"/>
      <c r="K1161" t="inlineStr"/>
      <c r="L1161" t="inlineStr"/>
      <c r="M1161" t="inlineStr"/>
      <c r="N1161" t="inlineStr">
        <is>
          <t>No</t>
        </is>
      </c>
      <c r="O1161" t="inlineStr"/>
      <c r="P1161" t="inlineStr">
        <is>
          <t>single unit</t>
        </is>
      </c>
      <c r="Q1161" t="inlineStr"/>
      <c r="R1161" t="inlineStr"/>
      <c r="S1161">
        <f>HYPERLINK("https://helical-indexing-hi3d.streamlit.app/?emd_id=emd-10239&amp;rise=nan&amp;twist=nan&amp;csym=1&amp;rise2=6.95&amp;twist2=-31.13&amp;csym2=2", "Link")</f>
        <v/>
      </c>
    </row>
    <row r="1162">
      <c r="A1162" t="inlineStr">
        <is>
          <t>EMD-21314</t>
        </is>
      </c>
      <c r="B1162" t="inlineStr">
        <is>
          <t>microtubule</t>
        </is>
      </c>
      <c r="C1162" t="n">
        <v>4.4</v>
      </c>
      <c r="D1162" t="n">
        <v>17.4</v>
      </c>
      <c r="E1162" t="n">
        <v>-34.61</v>
      </c>
      <c r="F1162" t="inlineStr">
        <is>
          <t>C1</t>
        </is>
      </c>
      <c r="G1162" t="inlineStr"/>
      <c r="H1162" t="inlineStr"/>
      <c r="I1162" t="inlineStr">
        <is>
          <t>C1</t>
        </is>
      </c>
      <c r="J1162" t="inlineStr"/>
      <c r="K1162" t="inlineStr"/>
      <c r="L1162" t="n">
        <v>0.41845</v>
      </c>
      <c r="M1162" t="inlineStr"/>
      <c r="N1162" t="inlineStr">
        <is>
          <t>Excluded</t>
        </is>
      </c>
      <c r="O1162" t="inlineStr">
        <is>
          <t>worse</t>
        </is>
      </c>
      <c r="P1162" t="inlineStr">
        <is>
          <t>partial map</t>
        </is>
      </c>
      <c r="Q1162" t="inlineStr"/>
      <c r="R1162" t="inlineStr"/>
      <c r="S1162">
        <f>HYPERLINK("https://helical-indexing-hi3d.streamlit.app/?emd_id=emd-21314&amp;rise=nan&amp;twist=nan&amp;csym=1&amp;rise2=17.4&amp;twist2=-34.61&amp;csym2=1", "Link")</f>
        <v/>
      </c>
    </row>
    <row r="1163">
      <c r="A1163" t="inlineStr">
        <is>
          <t>EMD-25584</t>
        </is>
      </c>
      <c r="B1163" t="inlineStr">
        <is>
          <t>non-amyloid</t>
        </is>
      </c>
      <c r="C1163" t="n">
        <v>4.4</v>
      </c>
      <c r="D1163" t="n">
        <v>4.13</v>
      </c>
      <c r="E1163" t="n">
        <v>-26.83</v>
      </c>
      <c r="F1163" t="inlineStr">
        <is>
          <t>C7</t>
        </is>
      </c>
      <c r="G1163" t="inlineStr">
        <is>
          <t>4.13</t>
        </is>
      </c>
      <c r="H1163" t="n">
        <v>-26.83</v>
      </c>
      <c r="I1163" t="inlineStr">
        <is>
          <t>C7</t>
        </is>
      </c>
      <c r="J1163" t="n">
        <v>0</v>
      </c>
      <c r="K1163" t="inlineStr"/>
      <c r="L1163" t="n">
        <v>0.915228463</v>
      </c>
      <c r="M1163" t="n">
        <v>0.915228463</v>
      </c>
      <c r="N1163" t="inlineStr">
        <is>
          <t>Yes</t>
        </is>
      </c>
      <c r="O1163" t="inlineStr">
        <is>
          <t>equal</t>
        </is>
      </c>
      <c r="P1163" t="inlineStr">
        <is>
          <t>deposited</t>
        </is>
      </c>
      <c r="Q1163" t="inlineStr"/>
      <c r="R1163" t="inlineStr"/>
      <c r="S1163">
        <f>HYPERLINK("https://helical-indexing-hi3d.streamlit.app/?emd_id=emd-25584&amp;rise=4.13&amp;twist=-26.83&amp;csym=7&amp;rise2=4.13&amp;twist2=-26.83&amp;csym2=7", "Link")</f>
        <v/>
      </c>
    </row>
    <row r="1164">
      <c r="A1164" t="inlineStr">
        <is>
          <t>EMD-28711</t>
        </is>
      </c>
      <c r="B1164" t="inlineStr">
        <is>
          <t>non-amyloid</t>
        </is>
      </c>
      <c r="C1164" t="n">
        <v>4.4</v>
      </c>
      <c r="D1164" t="n">
        <v>3.15</v>
      </c>
      <c r="E1164" t="n">
        <v>-20.92</v>
      </c>
      <c r="F1164" t="inlineStr">
        <is>
          <t>C1</t>
        </is>
      </c>
      <c r="G1164" t="inlineStr">
        <is>
          <t>3.144410973</t>
        </is>
      </c>
      <c r="H1164" t="n">
        <v>-20.83682605</v>
      </c>
      <c r="I1164" t="inlineStr">
        <is>
          <t>C1</t>
        </is>
      </c>
      <c r="J1164" t="n">
        <v>0.087670147</v>
      </c>
      <c r="K1164" t="inlineStr"/>
      <c r="L1164" t="n">
        <v>0.6054</v>
      </c>
      <c r="M1164" t="n">
        <v>0.865501711</v>
      </c>
      <c r="N1164" t="inlineStr">
        <is>
          <t>Yes</t>
        </is>
      </c>
      <c r="O1164" t="inlineStr">
        <is>
          <t>improve</t>
        </is>
      </c>
      <c r="P1164" t="inlineStr">
        <is>
          <t>adjusted decimals</t>
        </is>
      </c>
      <c r="Q1164" t="inlineStr"/>
      <c r="R1164" t="inlineStr"/>
      <c r="S1164">
        <f>HYPERLINK("https://helical-indexing-hi3d.streamlit.app/?emd_id=emd-28711&amp;rise=3.144410973&amp;twist=-20.83682605&amp;csym=1&amp;rise2=3.15&amp;twist2=-20.92&amp;csym2=1", "Link")</f>
        <v/>
      </c>
    </row>
    <row r="1165">
      <c r="A1165" t="inlineStr">
        <is>
          <t>EMD-9566</t>
        </is>
      </c>
      <c r="B1165" t="inlineStr">
        <is>
          <t>non-amyloid</t>
        </is>
      </c>
      <c r="C1165" t="n">
        <v>4.4</v>
      </c>
      <c r="D1165" t="n">
        <v>15.88</v>
      </c>
      <c r="E1165" t="n">
        <v>56.77</v>
      </c>
      <c r="F1165" t="inlineStr">
        <is>
          <t>C1</t>
        </is>
      </c>
      <c r="G1165" t="inlineStr">
        <is>
          <t>15.68136366</t>
        </is>
      </c>
      <c r="H1165" t="n">
        <v>56.75891893</v>
      </c>
      <c r="I1165" t="inlineStr">
        <is>
          <t>C1</t>
        </is>
      </c>
      <c r="J1165" t="n">
        <v>0.1986534889956936</v>
      </c>
      <c r="K1165" t="inlineStr"/>
      <c r="L1165" t="n">
        <v>0.9525</v>
      </c>
      <c r="M1165" t="n">
        <v>0.991321942</v>
      </c>
      <c r="N1165" t="inlineStr">
        <is>
          <t>Yes</t>
        </is>
      </c>
      <c r="O1165" t="inlineStr">
        <is>
          <t>improve</t>
        </is>
      </c>
      <c r="P1165" t="inlineStr">
        <is>
          <t>adjusted decimals</t>
        </is>
      </c>
      <c r="Q1165" t="inlineStr"/>
      <c r="R1165" t="inlineStr"/>
      <c r="S1165">
        <f>HYPERLINK("https://helical-indexing-hi3d.streamlit.app/?emd_id=emd-9566&amp;rise=15.68136366&amp;twist=56.75891893&amp;csym=1&amp;rise2=15.88&amp;twist2=56.77&amp;csym2=1", "Link")</f>
        <v/>
      </c>
    </row>
    <row r="1166">
      <c r="A1166" t="inlineStr">
        <is>
          <t>EMD-20076</t>
        </is>
      </c>
      <c r="B1166" t="inlineStr">
        <is>
          <t>non-amyloid</t>
        </is>
      </c>
      <c r="C1166" t="n">
        <v>4.4</v>
      </c>
      <c r="D1166" t="n">
        <v>5.53</v>
      </c>
      <c r="E1166" t="n">
        <v>42.51</v>
      </c>
      <c r="F1166" t="inlineStr">
        <is>
          <t>C1</t>
        </is>
      </c>
      <c r="G1166" t="inlineStr">
        <is>
          <t>5.664293093</t>
        </is>
      </c>
      <c r="H1166" t="n">
        <v>42.50184207</v>
      </c>
      <c r="I1166" t="inlineStr">
        <is>
          <t>C1</t>
        </is>
      </c>
      <c r="J1166" t="n">
        <v>0.1343309756752287</v>
      </c>
      <c r="K1166" t="inlineStr"/>
      <c r="L1166" t="n">
        <v>0.92023</v>
      </c>
      <c r="M1166" t="n">
        <v>0.9961887619999999</v>
      </c>
      <c r="N1166" t="inlineStr">
        <is>
          <t>Yes</t>
        </is>
      </c>
      <c r="O1166" t="inlineStr">
        <is>
          <t>improve</t>
        </is>
      </c>
      <c r="P1166" t="inlineStr">
        <is>
          <t>adjusted decimals</t>
        </is>
      </c>
      <c r="Q1166" t="inlineStr"/>
      <c r="R1166" t="inlineStr"/>
      <c r="S1166">
        <f>HYPERLINK("https://helical-indexing-hi3d.streamlit.app/?emd_id=emd-20076&amp;rise=5.664293093&amp;twist=42.50184207&amp;csym=1&amp;rise2=5.53&amp;twist2=42.51&amp;csym2=1", "Link")</f>
        <v/>
      </c>
    </row>
    <row r="1167">
      <c r="A1167" t="inlineStr">
        <is>
          <t>EMD-21814</t>
        </is>
      </c>
      <c r="B1167" t="inlineStr">
        <is>
          <t>non-amyloid</t>
        </is>
      </c>
      <c r="C1167" t="n">
        <v>4.4</v>
      </c>
      <c r="D1167" t="n">
        <v>2.51</v>
      </c>
      <c r="E1167" t="n">
        <v>124.47</v>
      </c>
      <c r="F1167" t="inlineStr">
        <is>
          <t>C1</t>
        </is>
      </c>
      <c r="G1167" t="inlineStr">
        <is>
          <t>5.022037839</t>
        </is>
      </c>
      <c r="H1167" t="n">
        <v>-111.0611552</v>
      </c>
      <c r="I1167" t="inlineStr">
        <is>
          <t>C1</t>
        </is>
      </c>
      <c r="J1167" t="n">
        <v>9.296279364446267</v>
      </c>
      <c r="K1167" t="inlineStr"/>
      <c r="L1167" t="n">
        <v>0.99792</v>
      </c>
      <c r="M1167" t="n">
        <v>0.998011088</v>
      </c>
      <c r="N1167" t="inlineStr">
        <is>
          <t>Yes</t>
        </is>
      </c>
      <c r="O1167" t="inlineStr">
        <is>
          <t>improve</t>
        </is>
      </c>
      <c r="P1167" t="inlineStr">
        <is>
          <t>twist sign</t>
        </is>
      </c>
      <c r="Q1167" t="inlineStr"/>
      <c r="R1167" t="inlineStr"/>
      <c r="S1167">
        <f>HYPERLINK("https://helical-indexing-hi3d.streamlit.app/?emd_id=emd-21814&amp;rise=5.022037839&amp;twist=-111.0611552&amp;csym=1&amp;rise2=2.51&amp;twist2=124.47&amp;csym2=1", "Link")</f>
        <v/>
      </c>
    </row>
    <row r="1168">
      <c r="A1168" t="inlineStr">
        <is>
          <t>EMD-15492</t>
        </is>
      </c>
      <c r="B1168" t="inlineStr">
        <is>
          <t>non-amyloid</t>
        </is>
      </c>
      <c r="C1168" t="n">
        <v>4.4</v>
      </c>
      <c r="D1168" t="n">
        <v>6.97</v>
      </c>
      <c r="E1168" t="n">
        <v>28.3</v>
      </c>
      <c r="F1168" t="inlineStr">
        <is>
          <t>C3</t>
        </is>
      </c>
      <c r="G1168" t="inlineStr">
        <is>
          <t>6.968022189</t>
        </is>
      </c>
      <c r="H1168" t="n">
        <v>28.27560599</v>
      </c>
      <c r="I1168" t="inlineStr">
        <is>
          <t>C3</t>
        </is>
      </c>
      <c r="J1168" t="n">
        <v>0.009374102</v>
      </c>
      <c r="K1168" t="inlineStr"/>
      <c r="L1168" t="n">
        <v>0.881939137</v>
      </c>
      <c r="M1168" t="n">
        <v>0.883277809</v>
      </c>
      <c r="N1168" t="inlineStr">
        <is>
          <t>Yes</t>
        </is>
      </c>
      <c r="O1168" t="inlineStr">
        <is>
          <t>improve</t>
        </is>
      </c>
      <c r="P1168" t="inlineStr">
        <is>
          <t>adjusted decimals</t>
        </is>
      </c>
      <c r="Q1168" t="inlineStr"/>
      <c r="R1168" t="inlineStr"/>
      <c r="S1168">
        <f>HYPERLINK("https://helical-indexing-hi3d.streamlit.app/?emd_id=emd-15492&amp;rise=6.968022189&amp;twist=28.27560599&amp;csym=3&amp;rise2=6.97&amp;twist2=28.3&amp;csym2=3", "Link")</f>
        <v/>
      </c>
    </row>
    <row r="1169">
      <c r="A1169" t="inlineStr">
        <is>
          <t>EMD-34972</t>
        </is>
      </c>
      <c r="B1169" t="inlineStr">
        <is>
          <t>non-amyloid</t>
        </is>
      </c>
      <c r="C1169" t="n">
        <v>4.5</v>
      </c>
      <c r="D1169" t="n">
        <v>41.84</v>
      </c>
      <c r="E1169" t="n">
        <v>39.509</v>
      </c>
      <c r="F1169" t="inlineStr">
        <is>
          <t>C3</t>
        </is>
      </c>
      <c r="G1169" t="inlineStr">
        <is>
          <t>41.84</t>
        </is>
      </c>
      <c r="H1169" t="n">
        <v>39.509</v>
      </c>
      <c r="I1169" t="inlineStr">
        <is>
          <t>C3</t>
        </is>
      </c>
      <c r="J1169" t="n">
        <v>0</v>
      </c>
      <c r="K1169" t="inlineStr"/>
      <c r="L1169" t="n">
        <v>0.95719</v>
      </c>
      <c r="M1169" t="n">
        <v>0.95719</v>
      </c>
      <c r="N1169" t="inlineStr">
        <is>
          <t>Yes</t>
        </is>
      </c>
      <c r="O1169" t="inlineStr">
        <is>
          <t>equal</t>
        </is>
      </c>
      <c r="P1169" t="inlineStr">
        <is>
          <t>deposited</t>
        </is>
      </c>
      <c r="Q1169" t="inlineStr"/>
      <c r="R1169" t="inlineStr"/>
      <c r="S1169">
        <f>HYPERLINK("https://helical-indexing-hi3d.streamlit.app/?emd_id=emd-34972&amp;rise=41.84&amp;twist=39.509&amp;csym=3&amp;rise2=41.84&amp;twist2=39.509&amp;csym2=3", "Link")</f>
        <v/>
      </c>
    </row>
    <row r="1170">
      <c r="A1170" t="inlineStr">
        <is>
          <t>EMD-10229</t>
        </is>
      </c>
      <c r="B1170" t="inlineStr">
        <is>
          <t>non-amyloid</t>
        </is>
      </c>
      <c r="C1170" t="n">
        <v>4.5</v>
      </c>
      <c r="D1170" t="n">
        <v>7.11</v>
      </c>
      <c r="E1170" t="n">
        <v>138.14</v>
      </c>
      <c r="F1170" t="inlineStr">
        <is>
          <t>C1</t>
        </is>
      </c>
      <c r="G1170" t="inlineStr">
        <is>
          <t>7.11</t>
        </is>
      </c>
      <c r="H1170" t="n">
        <v>138.14</v>
      </c>
      <c r="I1170" t="inlineStr">
        <is>
          <t>C1</t>
        </is>
      </c>
      <c r="J1170" t="n">
        <v>0</v>
      </c>
      <c r="K1170" t="inlineStr"/>
      <c r="L1170" t="n">
        <v>0.933599118</v>
      </c>
      <c r="M1170" t="n">
        <v>0.933599118</v>
      </c>
      <c r="N1170" t="inlineStr">
        <is>
          <t>Yes</t>
        </is>
      </c>
      <c r="O1170" t="inlineStr">
        <is>
          <t>equal</t>
        </is>
      </c>
      <c r="P1170" t="inlineStr">
        <is>
          <t>deposited</t>
        </is>
      </c>
      <c r="Q1170" t="inlineStr"/>
      <c r="R1170" t="inlineStr"/>
      <c r="S1170">
        <f>HYPERLINK("https://helical-indexing-hi3d.streamlit.app/?emd_id=emd-10229&amp;rise=7.11&amp;twist=138.14&amp;csym=1&amp;rise2=7.11&amp;twist2=138.14&amp;csym2=1", "Link")</f>
        <v/>
      </c>
    </row>
    <row r="1171">
      <c r="A1171" t="inlineStr">
        <is>
          <t>EMD-6994</t>
        </is>
      </c>
      <c r="B1171" t="inlineStr">
        <is>
          <t>non-amyloid</t>
        </is>
      </c>
      <c r="C1171" t="n">
        <v>4.5</v>
      </c>
      <c r="D1171" t="n">
        <v>16.77</v>
      </c>
      <c r="E1171" t="n">
        <v>38.52</v>
      </c>
      <c r="F1171" t="inlineStr">
        <is>
          <t>C1</t>
        </is>
      </c>
      <c r="G1171" t="inlineStr">
        <is>
          <t>16.48591792</t>
        </is>
      </c>
      <c r="H1171" t="n">
        <v>-33.5148908</v>
      </c>
      <c r="I1171" t="inlineStr">
        <is>
          <t>C1</t>
        </is>
      </c>
      <c r="J1171" t="n">
        <v>11.97413112261938</v>
      </c>
      <c r="K1171" t="inlineStr"/>
      <c r="L1171" t="n">
        <v>0.84872</v>
      </c>
      <c r="M1171" t="n">
        <v>0.877504545</v>
      </c>
      <c r="N1171" t="inlineStr">
        <is>
          <t>Yes</t>
        </is>
      </c>
      <c r="O1171" t="inlineStr">
        <is>
          <t>improve</t>
        </is>
      </c>
      <c r="P1171" t="inlineStr">
        <is>
          <t>twist sign</t>
        </is>
      </c>
      <c r="Q1171" t="inlineStr"/>
      <c r="R1171" t="inlineStr"/>
      <c r="S1171">
        <f>HYPERLINK("https://helical-indexing-hi3d.streamlit.app/?emd_id=emd-6994&amp;rise=16.48591792&amp;twist=-33.5148908&amp;csym=1&amp;rise2=16.77&amp;twist2=38.52&amp;csym2=1", "Link")</f>
        <v/>
      </c>
    </row>
    <row r="1172">
      <c r="A1172" t="inlineStr">
        <is>
          <t>EMD-9567</t>
        </is>
      </c>
      <c r="B1172" t="inlineStr">
        <is>
          <t>non-amyloid</t>
        </is>
      </c>
      <c r="C1172" t="n">
        <v>4.5</v>
      </c>
      <c r="D1172" t="n">
        <v>15.8</v>
      </c>
      <c r="E1172" t="n">
        <v>56.18</v>
      </c>
      <c r="F1172" t="inlineStr">
        <is>
          <t>C1</t>
        </is>
      </c>
      <c r="G1172" t="inlineStr">
        <is>
          <t>15.63486082</t>
        </is>
      </c>
      <c r="H1172" t="n">
        <v>56.12244848</v>
      </c>
      <c r="I1172" t="inlineStr">
        <is>
          <t>C1</t>
        </is>
      </c>
      <c r="J1172" t="n">
        <v>0.1657293696445579</v>
      </c>
      <c r="K1172" t="inlineStr"/>
      <c r="L1172" t="n">
        <v>0.97236</v>
      </c>
      <c r="M1172" t="n">
        <v>0.992550441</v>
      </c>
      <c r="N1172" t="inlineStr">
        <is>
          <t>Yes</t>
        </is>
      </c>
      <c r="O1172" t="inlineStr">
        <is>
          <t>improve</t>
        </is>
      </c>
      <c r="P1172" t="inlineStr">
        <is>
          <t>adjusted decimals</t>
        </is>
      </c>
      <c r="Q1172" t="inlineStr"/>
      <c r="R1172" t="inlineStr"/>
      <c r="S1172">
        <f>HYPERLINK("https://helical-indexing-hi3d.streamlit.app/?emd_id=emd-9567&amp;rise=15.63486082&amp;twist=56.12244848&amp;csym=1&amp;rise2=15.8&amp;twist2=56.18&amp;csym2=1", "Link")</f>
        <v/>
      </c>
    </row>
    <row r="1173">
      <c r="A1173" t="inlineStr">
        <is>
          <t>EMD-6325</t>
        </is>
      </c>
      <c r="B1173" t="inlineStr">
        <is>
          <t>non-amyloid</t>
        </is>
      </c>
      <c r="C1173" t="n">
        <v>4.5</v>
      </c>
      <c r="D1173" t="n">
        <v>1.39259</v>
      </c>
      <c r="E1173" t="n">
        <v>22.0318</v>
      </c>
      <c r="F1173" t="inlineStr">
        <is>
          <t>C1</t>
        </is>
      </c>
      <c r="G1173" t="inlineStr">
        <is>
          <t>1.39259</t>
        </is>
      </c>
      <c r="H1173" t="n">
        <v>22.0318</v>
      </c>
      <c r="I1173" t="inlineStr">
        <is>
          <t>C1</t>
        </is>
      </c>
      <c r="J1173" t="n">
        <v>0</v>
      </c>
      <c r="K1173" t="inlineStr"/>
      <c r="L1173" t="n">
        <v>0.99365</v>
      </c>
      <c r="M1173" t="n">
        <v>0.99365</v>
      </c>
      <c r="N1173" t="inlineStr">
        <is>
          <t>Yes</t>
        </is>
      </c>
      <c r="O1173" t="inlineStr">
        <is>
          <t>equal</t>
        </is>
      </c>
      <c r="P1173" t="inlineStr">
        <is>
          <t>deposited</t>
        </is>
      </c>
      <c r="Q1173" t="inlineStr"/>
      <c r="R1173" t="inlineStr"/>
      <c r="S1173">
        <f>HYPERLINK("https://helical-indexing-hi3d.streamlit.app/?emd_id=emd-6325&amp;rise=1.39259&amp;twist=22.0318&amp;csym=1&amp;rise2=1.39259&amp;twist2=22.0318&amp;csym2=1", "Link")</f>
        <v/>
      </c>
    </row>
    <row r="1174">
      <c r="A1174" t="inlineStr">
        <is>
          <t>EMD-8852</t>
        </is>
      </c>
      <c r="B1174" t="inlineStr">
        <is>
          <t>non-amyloid</t>
        </is>
      </c>
      <c r="C1174" t="n">
        <v>4.5</v>
      </c>
      <c r="D1174" t="n">
        <v>4.72</v>
      </c>
      <c r="E1174" t="n">
        <v>65.3</v>
      </c>
      <c r="F1174" t="inlineStr">
        <is>
          <t>C1</t>
        </is>
      </c>
      <c r="G1174" t="inlineStr">
        <is>
          <t>4.719400662</t>
        </is>
      </c>
      <c r="H1174" t="n">
        <v>65.28728773</v>
      </c>
      <c r="I1174" t="inlineStr">
        <is>
          <t>C1</t>
        </is>
      </c>
      <c r="J1174" t="n">
        <v>0.017023284</v>
      </c>
      <c r="K1174" t="inlineStr"/>
      <c r="L1174" t="n">
        <v>0.976832163</v>
      </c>
      <c r="M1174" t="n">
        <v>0.977235946</v>
      </c>
      <c r="N1174" t="inlineStr">
        <is>
          <t>Yes</t>
        </is>
      </c>
      <c r="O1174" t="inlineStr">
        <is>
          <t>improve</t>
        </is>
      </c>
      <c r="P1174" t="inlineStr">
        <is>
          <t>adjusted decimals</t>
        </is>
      </c>
      <c r="Q1174" t="inlineStr"/>
      <c r="R1174" t="inlineStr"/>
      <c r="S1174">
        <f>HYPERLINK("https://helical-indexing-hi3d.streamlit.app/?emd_id=emd-8852&amp;rise=4.719400662&amp;twist=65.28728773&amp;csym=1&amp;rise2=4.72&amp;twist2=65.3&amp;csym2=1", "Link")</f>
        <v/>
      </c>
    </row>
    <row r="1175">
      <c r="A1175" t="inlineStr">
        <is>
          <t>EMD-15493</t>
        </is>
      </c>
      <c r="B1175" t="inlineStr">
        <is>
          <t>non-amyloid</t>
        </is>
      </c>
      <c r="C1175" t="n">
        <v>4.5</v>
      </c>
      <c r="D1175" t="n">
        <v>2.1</v>
      </c>
      <c r="E1175" t="n">
        <v>-83.59999999999999</v>
      </c>
      <c r="F1175" t="inlineStr">
        <is>
          <t>C1</t>
        </is>
      </c>
      <c r="G1175" t="inlineStr">
        <is>
          <t>2.1</t>
        </is>
      </c>
      <c r="H1175" t="n">
        <v>-83.59999999999999</v>
      </c>
      <c r="I1175" t="inlineStr">
        <is>
          <t>C1</t>
        </is>
      </c>
      <c r="J1175" t="n">
        <v>0</v>
      </c>
      <c r="K1175" t="inlineStr"/>
      <c r="L1175" t="n">
        <v>0.879010205</v>
      </c>
      <c r="M1175" t="n">
        <v>0.879010205</v>
      </c>
      <c r="N1175" t="inlineStr">
        <is>
          <t>Yes</t>
        </is>
      </c>
      <c r="O1175" t="inlineStr">
        <is>
          <t>equal</t>
        </is>
      </c>
      <c r="P1175" t="inlineStr">
        <is>
          <t>deposited</t>
        </is>
      </c>
      <c r="Q1175" t="inlineStr"/>
      <c r="R1175" t="inlineStr"/>
      <c r="S1175">
        <f>HYPERLINK("https://helical-indexing-hi3d.streamlit.app/?emd_id=emd-15493&amp;rise=2.1&amp;twist=-83.6&amp;csym=1&amp;rise2=2.1&amp;twist2=-83.6&amp;csym2=1", "Link")</f>
        <v/>
      </c>
    </row>
    <row r="1176">
      <c r="A1176" t="inlineStr">
        <is>
          <t>EMD-12515</t>
        </is>
      </c>
      <c r="B1176" t="inlineStr">
        <is>
          <t>non-amyloid</t>
        </is>
      </c>
      <c r="C1176" t="n">
        <v>4.5</v>
      </c>
      <c r="D1176" t="n">
        <v>28.68</v>
      </c>
      <c r="E1176" t="n">
        <v>-80.56999999999999</v>
      </c>
      <c r="F1176" t="inlineStr">
        <is>
          <t>C1</t>
        </is>
      </c>
      <c r="G1176" t="inlineStr"/>
      <c r="H1176" t="inlineStr"/>
      <c r="I1176" t="inlineStr">
        <is>
          <t>Cnan</t>
        </is>
      </c>
      <c r="J1176" t="inlineStr"/>
      <c r="K1176" t="inlineStr">
        <is>
          <t>z -&gt; x</t>
        </is>
      </c>
      <c r="L1176" t="n">
        <v>0.30039</v>
      </c>
      <c r="M1176" t="n">
        <v>0.166831288</v>
      </c>
      <c r="N1176" t="inlineStr">
        <is>
          <t>Excluded</t>
        </is>
      </c>
      <c r="O1176" t="inlineStr">
        <is>
          <t>worse</t>
        </is>
      </c>
      <c r="P1176" t="inlineStr">
        <is>
          <t>focus reconstruction</t>
        </is>
      </c>
      <c r="Q1176" t="inlineStr"/>
      <c r="R1176" t="inlineStr"/>
      <c r="S1176">
        <f>HYPERLINK("https://helical-indexing-hi3d.streamlit.app/?emd_id=emd-12515&amp;rise=nan&amp;twist=nan&amp;csym=nan&amp;rise2=28.68&amp;twist2=-80.57&amp;csym2=1", "Link")</f>
        <v/>
      </c>
    </row>
    <row r="1177">
      <c r="A1177" t="inlineStr">
        <is>
          <t>EMD-8780</t>
        </is>
      </c>
      <c r="B1177" t="inlineStr">
        <is>
          <t>non-amyloid</t>
        </is>
      </c>
      <c r="C1177" t="n">
        <v>4.5</v>
      </c>
      <c r="D1177" t="n">
        <v>4.6</v>
      </c>
      <c r="E1177" t="n">
        <v>38.7</v>
      </c>
      <c r="F1177" t="inlineStr">
        <is>
          <t>C1</t>
        </is>
      </c>
      <c r="G1177" t="inlineStr">
        <is>
          <t>4.570700894</t>
        </is>
      </c>
      <c r="H1177" t="n">
        <v>38.70461538</v>
      </c>
      <c r="I1177" t="inlineStr">
        <is>
          <t>C1</t>
        </is>
      </c>
      <c r="J1177" t="n">
        <v>0.0294373833868525</v>
      </c>
      <c r="K1177" t="inlineStr"/>
      <c r="L1177" t="n">
        <v>0.99187</v>
      </c>
      <c r="M1177" t="n">
        <v>0.99394218</v>
      </c>
      <c r="N1177" t="inlineStr">
        <is>
          <t>Yes</t>
        </is>
      </c>
      <c r="O1177" t="inlineStr">
        <is>
          <t>improve</t>
        </is>
      </c>
      <c r="P1177" t="inlineStr">
        <is>
          <t>adjusted decimals</t>
        </is>
      </c>
      <c r="Q1177" t="inlineStr"/>
      <c r="R1177" t="inlineStr"/>
      <c r="S1177">
        <f>HYPERLINK("https://helical-indexing-hi3d.streamlit.app/?emd_id=emd-8780&amp;rise=4.570700894&amp;twist=38.70461538&amp;csym=1&amp;rise2=4.6&amp;twist2=38.7&amp;csym2=1", "Link")</f>
        <v/>
      </c>
    </row>
    <row r="1178">
      <c r="A1178" t="inlineStr">
        <is>
          <t>EMD-10195</t>
        </is>
      </c>
      <c r="B1178" t="inlineStr">
        <is>
          <t>microtubule</t>
        </is>
      </c>
      <c r="C1178" t="n">
        <v>4.5</v>
      </c>
      <c r="D1178" t="n">
        <v>9.460000000000001</v>
      </c>
      <c r="E1178" t="n">
        <v>-27.67</v>
      </c>
      <c r="F1178" t="inlineStr">
        <is>
          <t>C1</t>
        </is>
      </c>
      <c r="G1178" t="inlineStr">
        <is>
          <t>9.46</t>
        </is>
      </c>
      <c r="H1178" t="n">
        <v>-27.67</v>
      </c>
      <c r="I1178" t="inlineStr">
        <is>
          <t>C1</t>
        </is>
      </c>
      <c r="J1178" t="n">
        <v>0</v>
      </c>
      <c r="K1178" t="inlineStr"/>
      <c r="L1178" t="n">
        <v>0.882439647</v>
      </c>
      <c r="M1178" t="n">
        <v>0.882439647</v>
      </c>
      <c r="N1178" t="inlineStr">
        <is>
          <t>Yes</t>
        </is>
      </c>
      <c r="O1178" t="inlineStr">
        <is>
          <t>equal</t>
        </is>
      </c>
      <c r="P1178" t="inlineStr">
        <is>
          <t>deposited</t>
        </is>
      </c>
      <c r="Q1178" t="inlineStr"/>
      <c r="R1178" t="inlineStr"/>
      <c r="S1178">
        <f>HYPERLINK("https://helical-indexing-hi3d.streamlit.app/?emd_id=emd-10195&amp;rise=9.46&amp;twist=-27.67&amp;csym=1&amp;rise2=9.46&amp;twist2=-27.67&amp;csym2=1", "Link")</f>
        <v/>
      </c>
    </row>
    <row r="1179">
      <c r="A1179" t="inlineStr">
        <is>
          <t>EMD-6701</t>
        </is>
      </c>
      <c r="B1179" t="inlineStr">
        <is>
          <t>microtubule</t>
        </is>
      </c>
      <c r="C1179" t="n">
        <v>4.5</v>
      </c>
      <c r="D1179" t="n">
        <v>8.6</v>
      </c>
      <c r="E1179" t="n">
        <v>-25.762</v>
      </c>
      <c r="F1179" t="inlineStr">
        <is>
          <t>C1</t>
        </is>
      </c>
      <c r="G1179" t="inlineStr">
        <is>
          <t>8.6</t>
        </is>
      </c>
      <c r="H1179" t="n">
        <v>-25.762</v>
      </c>
      <c r="I1179" t="inlineStr">
        <is>
          <t>C1</t>
        </is>
      </c>
      <c r="J1179" t="n">
        <v>0</v>
      </c>
      <c r="K1179" t="inlineStr"/>
      <c r="L1179" t="n">
        <v>0.700934225</v>
      </c>
      <c r="M1179" t="n">
        <v>0.700934225</v>
      </c>
      <c r="N1179" t="inlineStr">
        <is>
          <t>No</t>
        </is>
      </c>
      <c r="O1179" t="inlineStr">
        <is>
          <t>equal</t>
        </is>
      </c>
      <c r="P1179" t="inlineStr">
        <is>
          <t>deposited</t>
        </is>
      </c>
      <c r="Q1179" t="inlineStr"/>
      <c r="R1179" t="inlineStr"/>
      <c r="S1179">
        <f>HYPERLINK("https://helical-indexing-hi3d.streamlit.app/?emd_id=emd-6701&amp;rise=8.6&amp;twist=-25.762&amp;csym=1&amp;rise2=8.6&amp;twist2=-25.762&amp;csym2=1", "Link")</f>
        <v/>
      </c>
    </row>
    <row r="1180">
      <c r="A1180" t="inlineStr">
        <is>
          <t>EMD-8758</t>
        </is>
      </c>
      <c r="B1180" t="inlineStr">
        <is>
          <t>microtubule</t>
        </is>
      </c>
      <c r="C1180" t="n">
        <v>4.5</v>
      </c>
      <c r="D1180" t="n">
        <v>9.65</v>
      </c>
      <c r="E1180" t="n">
        <v>-27.7</v>
      </c>
      <c r="F1180" t="inlineStr">
        <is>
          <t>C1</t>
        </is>
      </c>
      <c r="G1180" t="inlineStr">
        <is>
          <t>3.199273433</t>
        </is>
      </c>
      <c r="H1180" t="n">
        <v>110.789947</v>
      </c>
      <c r="I1180" t="inlineStr">
        <is>
          <t>C1</t>
        </is>
      </c>
      <c r="J1180" t="n">
        <v>41.23811529435217</v>
      </c>
      <c r="K1180" t="inlineStr"/>
      <c r="L1180" t="n">
        <v>0.8051005490000001</v>
      </c>
      <c r="M1180" t="n">
        <v>0.886109318</v>
      </c>
      <c r="N1180" t="inlineStr">
        <is>
          <t>Yes</t>
        </is>
      </c>
      <c r="O1180" t="inlineStr">
        <is>
          <t>improve</t>
        </is>
      </c>
      <c r="P1180" t="inlineStr">
        <is>
          <t>different</t>
        </is>
      </c>
      <c r="Q1180" t="inlineStr">
        <is>
          <t>partial symmetry</t>
        </is>
      </c>
      <c r="R1180" t="inlineStr"/>
      <c r="S1180">
        <f>HYPERLINK("https://helical-indexing-hi3d.streamlit.app/?emd_id=emd-8758&amp;rise=3.199273433&amp;twist=110.789947&amp;csym=1&amp;rise2=9.65&amp;twist2=-27.7&amp;csym2=1", "Link")</f>
        <v/>
      </c>
    </row>
    <row r="1181">
      <c r="A1181" t="inlineStr">
        <is>
          <t>EMD-8577</t>
        </is>
      </c>
      <c r="B1181" t="inlineStr">
        <is>
          <t>non-amyloid</t>
        </is>
      </c>
      <c r="C1181" t="n">
        <v>4.6</v>
      </c>
      <c r="D1181" t="n">
        <v>8.25</v>
      </c>
      <c r="E1181" t="n">
        <v>58.4</v>
      </c>
      <c r="F1181" t="inlineStr">
        <is>
          <t>C1</t>
        </is>
      </c>
      <c r="G1181" t="inlineStr">
        <is>
          <t>8.25</t>
        </is>
      </c>
      <c r="H1181" t="n">
        <v>58.4</v>
      </c>
      <c r="I1181" t="inlineStr">
        <is>
          <t>C1</t>
        </is>
      </c>
      <c r="J1181" t="n">
        <v>0</v>
      </c>
      <c r="K1181" t="inlineStr"/>
      <c r="L1181" t="n">
        <v>0.91351693</v>
      </c>
      <c r="M1181" t="n">
        <v>0.91351693</v>
      </c>
      <c r="N1181" t="inlineStr">
        <is>
          <t>Yes</t>
        </is>
      </c>
      <c r="O1181" t="inlineStr">
        <is>
          <t>equal</t>
        </is>
      </c>
      <c r="P1181" t="inlineStr">
        <is>
          <t>deposited</t>
        </is>
      </c>
      <c r="Q1181" t="inlineStr"/>
      <c r="R1181" t="inlineStr"/>
      <c r="S1181">
        <f>HYPERLINK("https://helical-indexing-hi3d.streamlit.app/?emd_id=emd-8577&amp;rise=8.25&amp;twist=58.4&amp;csym=1&amp;rise2=8.25&amp;twist2=58.4&amp;csym2=1", "Link")</f>
        <v/>
      </c>
    </row>
    <row r="1182">
      <c r="A1182" t="inlineStr">
        <is>
          <t>EMD-8300</t>
        </is>
      </c>
      <c r="B1182" t="inlineStr">
        <is>
          <t>non-amyloid</t>
        </is>
      </c>
      <c r="C1182" t="n">
        <v>4.6</v>
      </c>
      <c r="D1182" t="n">
        <v>27.1</v>
      </c>
      <c r="E1182" t="n">
        <v>99.40000000000001</v>
      </c>
      <c r="F1182" t="inlineStr">
        <is>
          <t>C1</t>
        </is>
      </c>
      <c r="G1182" t="inlineStr">
        <is>
          <t>27.1</t>
        </is>
      </c>
      <c r="H1182" t="n">
        <v>99.40000000000001</v>
      </c>
      <c r="I1182" t="inlineStr">
        <is>
          <t>C1</t>
        </is>
      </c>
      <c r="J1182" t="n">
        <v>0</v>
      </c>
      <c r="K1182" t="inlineStr"/>
      <c r="L1182" t="n">
        <v>0.93609</v>
      </c>
      <c r="M1182" t="n">
        <v>0.93609</v>
      </c>
      <c r="N1182" t="inlineStr">
        <is>
          <t>Yes</t>
        </is>
      </c>
      <c r="O1182" t="inlineStr">
        <is>
          <t>equal</t>
        </is>
      </c>
      <c r="P1182" t="inlineStr">
        <is>
          <t>deposited</t>
        </is>
      </c>
      <c r="Q1182" t="inlineStr"/>
      <c r="R1182" t="inlineStr"/>
      <c r="S1182">
        <f>HYPERLINK("https://helical-indexing-hi3d.streamlit.app/?emd_id=emd-8300&amp;rise=27.1&amp;twist=99.4&amp;csym=1&amp;rise2=27.1&amp;twist2=99.4&amp;csym2=1", "Link")</f>
        <v/>
      </c>
    </row>
    <row r="1183">
      <c r="A1183" t="inlineStr">
        <is>
          <t>EMD-7116</t>
        </is>
      </c>
      <c r="B1183" t="inlineStr">
        <is>
          <t>non-amyloid</t>
        </is>
      </c>
      <c r="C1183" t="n">
        <v>4.6</v>
      </c>
      <c r="D1183" t="n">
        <v>28.06</v>
      </c>
      <c r="E1183" t="n">
        <v>-166.73</v>
      </c>
      <c r="F1183" t="inlineStr">
        <is>
          <t>C1</t>
        </is>
      </c>
      <c r="G1183" t="inlineStr">
        <is>
          <t>28.06</t>
        </is>
      </c>
      <c r="H1183" t="n">
        <v>-166.73</v>
      </c>
      <c r="I1183" t="inlineStr">
        <is>
          <t>C1</t>
        </is>
      </c>
      <c r="J1183" t="n">
        <v>0</v>
      </c>
      <c r="K1183" t="inlineStr"/>
      <c r="L1183" t="n">
        <v>0.996070881</v>
      </c>
      <c r="M1183" t="n">
        <v>0.996070881</v>
      </c>
      <c r="N1183" t="inlineStr">
        <is>
          <t>Yes</t>
        </is>
      </c>
      <c r="O1183" t="inlineStr">
        <is>
          <t>equal</t>
        </is>
      </c>
      <c r="P1183" t="inlineStr">
        <is>
          <t>deposited</t>
        </is>
      </c>
      <c r="Q1183" t="inlineStr"/>
      <c r="R1183" t="inlineStr"/>
      <c r="S1183">
        <f>HYPERLINK("https://helical-indexing-hi3d.streamlit.app/?emd_id=emd-7116&amp;rise=28.06&amp;twist=-166.73&amp;csym=1&amp;rise2=28.06&amp;twist2=-166.73&amp;csym2=1", "Link")</f>
        <v/>
      </c>
    </row>
    <row r="1184">
      <c r="A1184" t="inlineStr">
        <is>
          <t>EMD-1730</t>
        </is>
      </c>
      <c r="B1184" t="inlineStr">
        <is>
          <t>non-amyloid</t>
        </is>
      </c>
      <c r="C1184" t="n">
        <v>4.6</v>
      </c>
      <c r="D1184" t="n">
        <v>1.408</v>
      </c>
      <c r="E1184" t="n">
        <v>22.04</v>
      </c>
      <c r="F1184" t="inlineStr">
        <is>
          <t>C1</t>
        </is>
      </c>
      <c r="G1184" t="inlineStr"/>
      <c r="H1184" t="inlineStr"/>
      <c r="I1184" t="inlineStr">
        <is>
          <t>Cnan</t>
        </is>
      </c>
      <c r="J1184" t="inlineStr"/>
      <c r="K1184" t="inlineStr">
        <is>
          <t>z -&gt; x</t>
        </is>
      </c>
      <c r="L1184" t="n">
        <v>0.01578</v>
      </c>
      <c r="M1184" t="n">
        <v>0.00295871</v>
      </c>
      <c r="N1184" t="inlineStr">
        <is>
          <t>Excluded</t>
        </is>
      </c>
      <c r="O1184" t="inlineStr">
        <is>
          <t>worse</t>
        </is>
      </c>
      <c r="P1184" t="inlineStr">
        <is>
          <t>focus reconstruction</t>
        </is>
      </c>
      <c r="Q1184" t="inlineStr"/>
      <c r="R1184" t="inlineStr"/>
      <c r="S1184">
        <f>HYPERLINK("https://helical-indexing-hi3d.streamlit.app/?emd_id=emd-1730&amp;rise=nan&amp;twist=nan&amp;csym=nan&amp;rise2=1.408&amp;twist2=22.04&amp;csym2=1", "Link")</f>
        <v/>
      </c>
    </row>
    <row r="1185">
      <c r="A1185" t="inlineStr">
        <is>
          <t>EMD-14958</t>
        </is>
      </c>
      <c r="B1185" t="inlineStr">
        <is>
          <t>non-amyloid</t>
        </is>
      </c>
      <c r="C1185" t="n">
        <v>4.6</v>
      </c>
      <c r="D1185" t="n">
        <v>27.8</v>
      </c>
      <c r="E1185" t="n">
        <v>-166.4</v>
      </c>
      <c r="F1185" t="inlineStr">
        <is>
          <t>C1</t>
        </is>
      </c>
      <c r="G1185" t="inlineStr">
        <is>
          <t>28.09496732</t>
        </is>
      </c>
      <c r="H1185" t="n">
        <v>-166.3365832</v>
      </c>
      <c r="I1185" t="inlineStr">
        <is>
          <t>C1</t>
        </is>
      </c>
      <c r="J1185" t="n">
        <v>0.295702178</v>
      </c>
      <c r="K1185" t="inlineStr"/>
      <c r="L1185" t="n">
        <v>0.767934166</v>
      </c>
      <c r="M1185" t="n">
        <v>0.818738805</v>
      </c>
      <c r="N1185" t="inlineStr">
        <is>
          <t>Yes</t>
        </is>
      </c>
      <c r="O1185" t="inlineStr">
        <is>
          <t>improve</t>
        </is>
      </c>
      <c r="P1185" t="inlineStr">
        <is>
          <t>adjusted decimals</t>
        </is>
      </c>
      <c r="Q1185" t="inlineStr"/>
      <c r="R1185" t="inlineStr"/>
      <c r="S1185">
        <f>HYPERLINK("https://helical-indexing-hi3d.streamlit.app/?emd_id=emd-14958&amp;rise=28.09496732&amp;twist=-166.3365832&amp;csym=1&amp;rise2=27.8&amp;twist2=-166.4&amp;csym2=1", "Link")</f>
        <v/>
      </c>
    </row>
    <row r="1186">
      <c r="A1186" t="inlineStr">
        <is>
          <t>EMD-27095</t>
        </is>
      </c>
      <c r="B1186" t="inlineStr">
        <is>
          <t>non-amyloid</t>
        </is>
      </c>
      <c r="C1186" t="n">
        <v>4.6</v>
      </c>
      <c r="D1186" t="n">
        <v>5</v>
      </c>
      <c r="E1186" t="n">
        <v>-100.8</v>
      </c>
      <c r="F1186" t="inlineStr">
        <is>
          <t>C1</t>
        </is>
      </c>
      <c r="G1186" t="inlineStr"/>
      <c r="H1186" t="inlineStr"/>
      <c r="I1186" t="inlineStr">
        <is>
          <t>Cnan</t>
        </is>
      </c>
      <c r="J1186" t="inlineStr"/>
      <c r="K1186" t="inlineStr"/>
      <c r="L1186" t="n">
        <v>0.47863</v>
      </c>
      <c r="M1186" t="n">
        <v>0.620290958</v>
      </c>
      <c r="N1186" t="inlineStr">
        <is>
          <t>Excluded</t>
        </is>
      </c>
      <c r="O1186" t="inlineStr">
        <is>
          <t>improve</t>
        </is>
      </c>
      <c r="P1186" t="inlineStr">
        <is>
          <t>focus reconstruction</t>
        </is>
      </c>
      <c r="Q1186" t="inlineStr"/>
      <c r="R1186" t="inlineStr"/>
      <c r="S1186">
        <f>HYPERLINK("https://helical-indexing-hi3d.streamlit.app/?emd_id=emd-27095&amp;rise=nan&amp;twist=nan&amp;csym=nan&amp;rise2=5.0&amp;twist2=-100.8&amp;csym2=1", "Link")</f>
        <v/>
      </c>
    </row>
    <row r="1187">
      <c r="A1187" t="inlineStr">
        <is>
          <t>EMD-8504</t>
        </is>
      </c>
      <c r="B1187" t="inlineStr">
        <is>
          <t>non-amyloid</t>
        </is>
      </c>
      <c r="C1187" t="n">
        <v>4.6</v>
      </c>
      <c r="D1187" t="n">
        <v>81.59999999999999</v>
      </c>
      <c r="E1187" t="n">
        <v>48.5</v>
      </c>
      <c r="F1187" t="inlineStr">
        <is>
          <t>C1</t>
        </is>
      </c>
      <c r="G1187" t="inlineStr">
        <is>
          <t>81.6</t>
        </is>
      </c>
      <c r="H1187" t="n">
        <v>48.5</v>
      </c>
      <c r="I1187" t="inlineStr">
        <is>
          <t>C1</t>
        </is>
      </c>
      <c r="J1187" t="n">
        <v>0</v>
      </c>
      <c r="K1187" t="inlineStr"/>
      <c r="L1187" t="n">
        <v>0.99333</v>
      </c>
      <c r="M1187" t="n">
        <v>0.99333</v>
      </c>
      <c r="N1187" t="inlineStr">
        <is>
          <t>Yes</t>
        </is>
      </c>
      <c r="O1187" t="inlineStr">
        <is>
          <t>equal</t>
        </is>
      </c>
      <c r="P1187" t="inlineStr">
        <is>
          <t>deposited</t>
        </is>
      </c>
      <c r="Q1187" t="inlineStr"/>
      <c r="R1187" t="inlineStr"/>
      <c r="S1187">
        <f>HYPERLINK("https://helical-indexing-hi3d.streamlit.app/?emd_id=emd-8504&amp;rise=81.6&amp;twist=48.5&amp;csym=1&amp;rise2=81.6&amp;twist2=48.5&amp;csym2=1", "Link")</f>
        <v/>
      </c>
    </row>
    <row r="1188">
      <c r="A1188" t="inlineStr">
        <is>
          <t>EMD-22232</t>
        </is>
      </c>
      <c r="B1188" t="inlineStr">
        <is>
          <t>non-amyloid</t>
        </is>
      </c>
      <c r="C1188" t="n">
        <v>4.6</v>
      </c>
      <c r="D1188" t="n">
        <v>4.88</v>
      </c>
      <c r="E1188" t="n">
        <v>65.59999999999999</v>
      </c>
      <c r="F1188" t="inlineStr">
        <is>
          <t>C1</t>
        </is>
      </c>
      <c r="G1188" t="inlineStr">
        <is>
          <t>4.850092257</t>
        </is>
      </c>
      <c r="H1188" t="n">
        <v>65.6238223</v>
      </c>
      <c r="I1188" t="inlineStr">
        <is>
          <t>C1</t>
        </is>
      </c>
      <c r="J1188" t="n">
        <v>0.0305277744815427</v>
      </c>
      <c r="K1188" t="inlineStr"/>
      <c r="L1188" t="n">
        <v>0.94484</v>
      </c>
      <c r="M1188" t="n">
        <v>0.945883351</v>
      </c>
      <c r="N1188" t="inlineStr">
        <is>
          <t>Yes</t>
        </is>
      </c>
      <c r="O1188" t="inlineStr">
        <is>
          <t>improve</t>
        </is>
      </c>
      <c r="P1188" t="inlineStr">
        <is>
          <t>adjusted decimals</t>
        </is>
      </c>
      <c r="Q1188" t="inlineStr"/>
      <c r="R1188" t="inlineStr"/>
      <c r="S1188">
        <f>HYPERLINK("https://helical-indexing-hi3d.streamlit.app/?emd_id=emd-22232&amp;rise=4.850092257&amp;twist=65.6238223&amp;csym=1&amp;rise2=4.88&amp;twist2=65.6&amp;csym2=1", "Link")</f>
        <v/>
      </c>
    </row>
    <row r="1189">
      <c r="A1189" t="inlineStr">
        <is>
          <t>EMD-30065</t>
        </is>
      </c>
      <c r="B1189" t="inlineStr">
        <is>
          <t>non-amyloid</t>
        </is>
      </c>
      <c r="C1189" t="n">
        <v>4.61</v>
      </c>
      <c r="D1189" t="n">
        <v>4.3</v>
      </c>
      <c r="E1189" t="n">
        <v>-27.36</v>
      </c>
      <c r="F1189" t="inlineStr">
        <is>
          <t>C1</t>
        </is>
      </c>
      <c r="G1189" t="inlineStr">
        <is>
          <t>4.3</t>
        </is>
      </c>
      <c r="H1189" t="n">
        <v>-27.36</v>
      </c>
      <c r="I1189" t="inlineStr">
        <is>
          <t>C1</t>
        </is>
      </c>
      <c r="J1189" t="n">
        <v>0</v>
      </c>
      <c r="K1189" t="inlineStr"/>
      <c r="L1189" t="n">
        <v>0.792836532</v>
      </c>
      <c r="M1189" t="n">
        <v>0.792836532</v>
      </c>
      <c r="N1189" t="inlineStr">
        <is>
          <t>Yes</t>
        </is>
      </c>
      <c r="O1189" t="inlineStr">
        <is>
          <t>equal</t>
        </is>
      </c>
      <c r="P1189" t="inlineStr">
        <is>
          <t>deposited</t>
        </is>
      </c>
      <c r="Q1189" t="inlineStr"/>
      <c r="R1189" t="inlineStr"/>
      <c r="S1189">
        <f>HYPERLINK("https://helical-indexing-hi3d.streamlit.app/?emd_id=emd-30065&amp;rise=4.3&amp;twist=-27.36&amp;csym=1&amp;rise2=4.3&amp;twist2=-27.36&amp;csym2=1", "Link")</f>
        <v/>
      </c>
    </row>
    <row r="1190">
      <c r="A1190" t="inlineStr">
        <is>
          <t>EMD-9272</t>
        </is>
      </c>
      <c r="B1190" t="inlineStr">
        <is>
          <t>non-amyloid</t>
        </is>
      </c>
      <c r="C1190" t="n">
        <v>4.65</v>
      </c>
      <c r="D1190" t="n">
        <v>73.8</v>
      </c>
      <c r="E1190" t="n">
        <v>88.59999999999999</v>
      </c>
      <c r="F1190" t="inlineStr">
        <is>
          <t>C1</t>
        </is>
      </c>
      <c r="G1190" t="inlineStr"/>
      <c r="H1190" t="inlineStr"/>
      <c r="I1190" t="inlineStr">
        <is>
          <t>C1</t>
        </is>
      </c>
      <c r="J1190" t="inlineStr"/>
      <c r="K1190" t="inlineStr"/>
      <c r="L1190" t="n">
        <v>0.71759</v>
      </c>
      <c r="M1190" t="inlineStr"/>
      <c r="N1190" t="inlineStr">
        <is>
          <t>Excluded</t>
        </is>
      </c>
      <c r="O1190" t="inlineStr">
        <is>
          <t>worse</t>
        </is>
      </c>
      <c r="P1190" t="inlineStr">
        <is>
          <t>focus reconstruction</t>
        </is>
      </c>
      <c r="Q1190" t="inlineStr"/>
      <c r="R1190" t="inlineStr"/>
      <c r="S1190">
        <f>HYPERLINK("https://helical-indexing-hi3d.streamlit.app/?emd_id=emd-9272&amp;rise=nan&amp;twist=nan&amp;csym=1&amp;rise2=73.8&amp;twist2=88.6&amp;csym2=1", "Link")</f>
        <v/>
      </c>
    </row>
    <row r="1191">
      <c r="A1191" t="inlineStr">
        <is>
          <t>EMD-9757</t>
        </is>
      </c>
      <c r="B1191" t="inlineStr">
        <is>
          <t>non-amyloid</t>
        </is>
      </c>
      <c r="C1191" t="n">
        <v>4.7</v>
      </c>
      <c r="D1191" t="n">
        <v>50.26</v>
      </c>
      <c r="E1191" t="n">
        <v>-50.37</v>
      </c>
      <c r="F1191" t="inlineStr">
        <is>
          <t>C1</t>
        </is>
      </c>
      <c r="G1191" t="inlineStr">
        <is>
          <t>50.26</t>
        </is>
      </c>
      <c r="H1191" t="n">
        <v>-50.37</v>
      </c>
      <c r="I1191" t="inlineStr">
        <is>
          <t>C1</t>
        </is>
      </c>
      <c r="J1191" t="n">
        <v>0</v>
      </c>
      <c r="K1191" t="inlineStr"/>
      <c r="L1191" t="n">
        <v>0.99941</v>
      </c>
      <c r="M1191" t="n">
        <v>0.99941</v>
      </c>
      <c r="N1191" t="inlineStr">
        <is>
          <t>Yes</t>
        </is>
      </c>
      <c r="O1191" t="inlineStr">
        <is>
          <t>equal</t>
        </is>
      </c>
      <c r="P1191" t="inlineStr">
        <is>
          <t>deposited</t>
        </is>
      </c>
      <c r="Q1191" t="inlineStr"/>
      <c r="R1191" t="inlineStr"/>
      <c r="S1191">
        <f>HYPERLINK("https://helical-indexing-hi3d.streamlit.app/?emd_id=emd-9757&amp;rise=50.26&amp;twist=-50.37&amp;csym=1&amp;rise2=50.26&amp;twist2=-50.37&amp;csym2=1", "Link")</f>
        <v/>
      </c>
    </row>
    <row r="1192">
      <c r="A1192" t="inlineStr">
        <is>
          <t>EMD-28712</t>
        </is>
      </c>
      <c r="B1192" t="inlineStr">
        <is>
          <t>non-amyloid</t>
        </is>
      </c>
      <c r="C1192" t="n">
        <v>4.7</v>
      </c>
      <c r="D1192" t="n">
        <v>3.13</v>
      </c>
      <c r="E1192" t="n">
        <v>-20.81</v>
      </c>
      <c r="F1192" t="inlineStr">
        <is>
          <t>C1</t>
        </is>
      </c>
      <c r="G1192" t="inlineStr">
        <is>
          <t>3.123684794</t>
        </is>
      </c>
      <c r="H1192" t="n">
        <v>-20.83216382</v>
      </c>
      <c r="I1192" t="inlineStr">
        <is>
          <t>C1</t>
        </is>
      </c>
      <c r="J1192" t="n">
        <v>0.0204870349146079</v>
      </c>
      <c r="K1192" t="inlineStr"/>
      <c r="L1192" t="n">
        <v>0.8851599999999999</v>
      </c>
      <c r="M1192" t="n">
        <v>0.906572791</v>
      </c>
      <c r="N1192" t="inlineStr">
        <is>
          <t>Yes</t>
        </is>
      </c>
      <c r="O1192" t="inlineStr">
        <is>
          <t>improve</t>
        </is>
      </c>
      <c r="P1192" t="inlineStr">
        <is>
          <t>adjusted decimals</t>
        </is>
      </c>
      <c r="Q1192" t="inlineStr"/>
      <c r="R1192" t="inlineStr"/>
      <c r="S1192">
        <f>HYPERLINK("https://helical-indexing-hi3d.streamlit.app/?emd_id=emd-28712&amp;rise=3.123684794&amp;twist=-20.83216382&amp;csym=1&amp;rise2=3.13&amp;twist2=-20.81&amp;csym2=1", "Link")</f>
        <v/>
      </c>
    </row>
    <row r="1193">
      <c r="A1193" t="inlineStr">
        <is>
          <t>EMD-27158</t>
        </is>
      </c>
      <c r="B1193" t="inlineStr">
        <is>
          <t>non-amyloid</t>
        </is>
      </c>
      <c r="C1193" t="n">
        <v>4.7</v>
      </c>
      <c r="D1193" t="n">
        <v>27</v>
      </c>
      <c r="E1193" t="n">
        <v>83.3</v>
      </c>
      <c r="F1193" t="inlineStr">
        <is>
          <t>C1</t>
        </is>
      </c>
      <c r="G1193" t="inlineStr">
        <is>
          <t>27.60421391</t>
        </is>
      </c>
      <c r="H1193" t="n">
        <v>82.6863603</v>
      </c>
      <c r="I1193" t="inlineStr">
        <is>
          <t>C1</t>
        </is>
      </c>
      <c r="J1193" t="n">
        <v>1.856868361418408</v>
      </c>
      <c r="K1193" t="inlineStr"/>
      <c r="L1193" t="n">
        <v>0.575363644</v>
      </c>
      <c r="M1193" t="n">
        <v>0.873510989</v>
      </c>
      <c r="N1193" t="inlineStr">
        <is>
          <t>Yes</t>
        </is>
      </c>
      <c r="O1193" t="inlineStr">
        <is>
          <t>improve</t>
        </is>
      </c>
      <c r="P1193" t="inlineStr">
        <is>
          <t>adjusted decimals</t>
        </is>
      </c>
      <c r="Q1193" t="inlineStr"/>
      <c r="R1193" t="inlineStr"/>
      <c r="S1193">
        <f>HYPERLINK("https://helical-indexing-hi3d.streamlit.app/?emd_id=emd-27158&amp;rise=27.60421391&amp;twist=82.6863603&amp;csym=1&amp;rise2=27.0&amp;twist2=83.3&amp;csym2=1", "Link")</f>
        <v/>
      </c>
    </row>
    <row r="1194">
      <c r="A1194" t="inlineStr">
        <is>
          <t>EMD-10240</t>
        </is>
      </c>
      <c r="B1194" t="inlineStr">
        <is>
          <t>non-amyloid</t>
        </is>
      </c>
      <c r="C1194" t="n">
        <v>4.7</v>
      </c>
      <c r="D1194" t="n">
        <v>6.6</v>
      </c>
      <c r="E1194" t="n">
        <v>165.3</v>
      </c>
      <c r="F1194" t="inlineStr">
        <is>
          <t>C2</t>
        </is>
      </c>
      <c r="G1194" t="inlineStr"/>
      <c r="H1194" t="inlineStr"/>
      <c r="I1194" t="inlineStr">
        <is>
          <t>C1</t>
        </is>
      </c>
      <c r="J1194" t="inlineStr"/>
      <c r="K1194" t="inlineStr"/>
      <c r="L1194" t="inlineStr"/>
      <c r="M1194" t="inlineStr"/>
      <c r="N1194" t="inlineStr">
        <is>
          <t>No</t>
        </is>
      </c>
      <c r="O1194" t="inlineStr"/>
      <c r="P1194" t="inlineStr">
        <is>
          <t>single unit</t>
        </is>
      </c>
      <c r="Q1194" t="inlineStr"/>
      <c r="R1194" t="inlineStr"/>
      <c r="S1194">
        <f>HYPERLINK("https://helical-indexing-hi3d.streamlit.app/?emd_id=emd-10240&amp;rise=nan&amp;twist=nan&amp;csym=1&amp;rise2=6.6&amp;twist2=165.3&amp;csym2=2", "Link")</f>
        <v/>
      </c>
    </row>
    <row r="1195">
      <c r="A1195" t="inlineStr">
        <is>
          <t>EMD-6179</t>
        </is>
      </c>
      <c r="B1195" t="inlineStr">
        <is>
          <t>non-amyloid</t>
        </is>
      </c>
      <c r="C1195" t="n">
        <v>4.7</v>
      </c>
      <c r="D1195" t="n">
        <v>27.6</v>
      </c>
      <c r="E1195" t="n">
        <v>166.7</v>
      </c>
      <c r="F1195" t="inlineStr">
        <is>
          <t>C1</t>
        </is>
      </c>
      <c r="G1195" t="inlineStr">
        <is>
          <t>27.56175384</t>
        </is>
      </c>
      <c r="H1195" t="n">
        <v>-166.6303463</v>
      </c>
      <c r="I1195" t="inlineStr">
        <is>
          <t>C1</t>
        </is>
      </c>
      <c r="J1195" t="n">
        <v>6.432940762877938</v>
      </c>
      <c r="K1195" t="inlineStr">
        <is>
          <t> </t>
        </is>
      </c>
      <c r="L1195" t="n">
        <v>0.39314</v>
      </c>
      <c r="M1195" t="n">
        <v>0.983725255</v>
      </c>
      <c r="N1195" t="inlineStr">
        <is>
          <t>Yes</t>
        </is>
      </c>
      <c r="O1195" t="inlineStr">
        <is>
          <t>improve</t>
        </is>
      </c>
      <c r="P1195" t="inlineStr">
        <is>
          <t>twist sign</t>
        </is>
      </c>
      <c r="Q1195" t="inlineStr"/>
      <c r="R1195" t="inlineStr"/>
      <c r="S1195">
        <f>HYPERLINK("https://helical-indexing-hi3d.streamlit.app/?emd_id=emd-6179&amp;rise=27.56175384&amp;twist=-166.6303463&amp;csym=1&amp;rise2=27.6&amp;twist2=166.7&amp;csym2=1", "Link")</f>
        <v/>
      </c>
    </row>
    <row r="1196">
      <c r="A1196" t="inlineStr">
        <is>
          <t>EMD-15497</t>
        </is>
      </c>
      <c r="B1196" t="inlineStr">
        <is>
          <t>non-amyloid</t>
        </is>
      </c>
      <c r="C1196" t="n">
        <v>4.7</v>
      </c>
      <c r="D1196" t="n">
        <v>6.92</v>
      </c>
      <c r="E1196" t="n">
        <v>21.2</v>
      </c>
      <c r="F1196" t="inlineStr">
        <is>
          <t>C4</t>
        </is>
      </c>
      <c r="G1196" t="inlineStr">
        <is>
          <t>6.92</t>
        </is>
      </c>
      <c r="H1196" t="n">
        <v>21.2</v>
      </c>
      <c r="I1196" t="inlineStr">
        <is>
          <t>C4</t>
        </is>
      </c>
      <c r="J1196" t="n">
        <v>0</v>
      </c>
      <c r="K1196" t="inlineStr"/>
      <c r="L1196" t="n">
        <v>0.86007018</v>
      </c>
      <c r="M1196" t="n">
        <v>0.86007018</v>
      </c>
      <c r="N1196" t="inlineStr">
        <is>
          <t>Yes</t>
        </is>
      </c>
      <c r="O1196" t="inlineStr">
        <is>
          <t>equal</t>
        </is>
      </c>
      <c r="P1196" t="inlineStr">
        <is>
          <t>deposited</t>
        </is>
      </c>
      <c r="Q1196" t="inlineStr"/>
      <c r="R1196" t="inlineStr"/>
      <c r="S1196">
        <f>HYPERLINK("https://helical-indexing-hi3d.streamlit.app/?emd_id=emd-15497&amp;rise=6.92&amp;twist=21.2&amp;csym=4&amp;rise2=6.92&amp;twist2=21.2&amp;csym2=4", "Link")</f>
        <v/>
      </c>
    </row>
    <row r="1197">
      <c r="A1197" t="inlineStr">
        <is>
          <t>EMD-40211</t>
        </is>
      </c>
      <c r="B1197" t="inlineStr">
        <is>
          <t>non-amyloid</t>
        </is>
      </c>
      <c r="C1197" t="n">
        <v>4.71</v>
      </c>
      <c r="D1197" t="n">
        <v>14.07</v>
      </c>
      <c r="E1197" t="n">
        <v>37.25</v>
      </c>
      <c r="F1197" t="inlineStr">
        <is>
          <t>C1</t>
        </is>
      </c>
      <c r="G1197" t="inlineStr"/>
      <c r="H1197" t="inlineStr"/>
      <c r="I1197" t="inlineStr">
        <is>
          <t>C1</t>
        </is>
      </c>
      <c r="J1197" t="inlineStr"/>
      <c r="K1197" t="inlineStr">
        <is>
          <t> </t>
        </is>
      </c>
      <c r="L1197" t="n">
        <v>0.174395707</v>
      </c>
      <c r="M1197" t="inlineStr"/>
      <c r="N1197" t="inlineStr">
        <is>
          <t>Excluded</t>
        </is>
      </c>
      <c r="O1197" t="inlineStr">
        <is>
          <t>worse</t>
        </is>
      </c>
      <c r="P1197" t="inlineStr">
        <is>
          <t>partial map</t>
        </is>
      </c>
      <c r="Q1197" t="inlineStr"/>
      <c r="R1197" t="inlineStr"/>
      <c r="S1197">
        <f>HYPERLINK("https://helical-indexing-hi3d.streamlit.app/?emd_id=emd-40211&amp;rise=nan&amp;twist=nan&amp;csym=1&amp;rise2=14.07&amp;twist2=37.25&amp;csym2=1", "Link")</f>
        <v/>
      </c>
    </row>
    <row r="1198">
      <c r="A1198" t="inlineStr">
        <is>
          <t>EMD-7523</t>
        </is>
      </c>
      <c r="B1198" t="inlineStr">
        <is>
          <t>microtubule</t>
        </is>
      </c>
      <c r="C1198" t="n">
        <v>4.8</v>
      </c>
      <c r="D1198" t="n">
        <v>8.6</v>
      </c>
      <c r="E1198" t="n">
        <v>-25.76</v>
      </c>
      <c r="F1198" t="inlineStr">
        <is>
          <t>C1</t>
        </is>
      </c>
      <c r="G1198" t="inlineStr">
        <is>
          <t>8.6</t>
        </is>
      </c>
      <c r="H1198" t="n">
        <v>-25.76</v>
      </c>
      <c r="I1198" t="inlineStr">
        <is>
          <t>C1</t>
        </is>
      </c>
      <c r="J1198" t="n">
        <v>0</v>
      </c>
      <c r="K1198" t="inlineStr">
        <is>
          <t> </t>
        </is>
      </c>
      <c r="L1198" t="n">
        <v>0.918311953</v>
      </c>
      <c r="M1198" t="n">
        <v>0.918311953</v>
      </c>
      <c r="N1198" t="inlineStr">
        <is>
          <t>Yes</t>
        </is>
      </c>
      <c r="O1198" t="inlineStr">
        <is>
          <t>equal</t>
        </is>
      </c>
      <c r="P1198" t="inlineStr">
        <is>
          <t>deposited</t>
        </is>
      </c>
      <c r="Q1198" t="inlineStr"/>
      <c r="R1198" t="inlineStr"/>
      <c r="S1198">
        <f>HYPERLINK("https://helical-indexing-hi3d.streamlit.app/?emd_id=emd-7523&amp;rise=8.6&amp;twist=-25.76&amp;csym=1&amp;rise2=8.6&amp;twist2=-25.76&amp;csym2=1", "Link")</f>
        <v/>
      </c>
    </row>
    <row r="1199">
      <c r="A1199" t="inlineStr">
        <is>
          <t>EMD-24586</t>
        </is>
      </c>
      <c r="B1199" t="inlineStr">
        <is>
          <t>non-amyloid</t>
        </is>
      </c>
      <c r="C1199" t="n">
        <v>4.8</v>
      </c>
      <c r="D1199" t="n">
        <v>0.72</v>
      </c>
      <c r="E1199" t="n">
        <v>50.2</v>
      </c>
      <c r="F1199" t="inlineStr">
        <is>
          <t>C1</t>
        </is>
      </c>
      <c r="G1199" t="inlineStr">
        <is>
          <t>0.72</t>
        </is>
      </c>
      <c r="H1199" t="n">
        <v>50.17</v>
      </c>
      <c r="I1199" t="inlineStr">
        <is>
          <t>C1</t>
        </is>
      </c>
      <c r="J1199" t="n">
        <v>0.011606138</v>
      </c>
      <c r="K1199" t="inlineStr"/>
      <c r="L1199" t="n">
        <v>0.933599118</v>
      </c>
      <c r="M1199" t="n">
        <v>0.9663903</v>
      </c>
      <c r="N1199" t="inlineStr">
        <is>
          <t>Yes</t>
        </is>
      </c>
      <c r="O1199" t="inlineStr">
        <is>
          <t>improve</t>
        </is>
      </c>
      <c r="P1199" t="inlineStr">
        <is>
          <t>adjusted decimals</t>
        </is>
      </c>
      <c r="Q1199" t="inlineStr"/>
      <c r="R1199" t="inlineStr"/>
      <c r="S1199">
        <f>HYPERLINK("https://helical-indexing-hi3d.streamlit.app/?emd_id=emd-24586&amp;rise=0.72&amp;twist=50.17&amp;csym=1&amp;rise2=0.72&amp;twist2=50.2&amp;csym2=1", "Link")</f>
        <v/>
      </c>
    </row>
    <row r="1200">
      <c r="A1200" t="inlineStr">
        <is>
          <t>EMD-3241</t>
        </is>
      </c>
      <c r="B1200" t="inlineStr">
        <is>
          <t>non-amyloid</t>
        </is>
      </c>
      <c r="C1200" t="n">
        <v>4.8</v>
      </c>
      <c r="D1200" t="n">
        <v>5.1</v>
      </c>
      <c r="E1200" t="n">
        <v>100.2</v>
      </c>
      <c r="F1200" t="inlineStr">
        <is>
          <t>C1</t>
        </is>
      </c>
      <c r="G1200" t="inlineStr">
        <is>
          <t>5.09616342</t>
        </is>
      </c>
      <c r="H1200" t="n">
        <v>-100.21611</v>
      </c>
      <c r="I1200" t="inlineStr">
        <is>
          <t>C1</t>
        </is>
      </c>
      <c r="J1200" t="n">
        <v>53.40801215</v>
      </c>
      <c r="K1200" t="inlineStr">
        <is>
          <t> </t>
        </is>
      </c>
      <c r="L1200" t="n">
        <v>0.77454</v>
      </c>
      <c r="M1200" t="n">
        <v>0.998765576</v>
      </c>
      <c r="N1200" t="inlineStr">
        <is>
          <t>Yes</t>
        </is>
      </c>
      <c r="O1200" t="inlineStr">
        <is>
          <t>improve</t>
        </is>
      </c>
      <c r="P1200" t="inlineStr">
        <is>
          <t>twist sign</t>
        </is>
      </c>
      <c r="Q1200" t="inlineStr"/>
      <c r="R1200" t="inlineStr"/>
      <c r="S1200">
        <f>HYPERLINK("https://helical-indexing-hi3d.streamlit.app/?emd_id=emd-3241&amp;rise=5.09616342&amp;twist=-100.21611&amp;csym=1&amp;rise2=5.1&amp;twist2=100.2&amp;csym2=1", "Link")</f>
        <v/>
      </c>
    </row>
    <row r="1201">
      <c r="A1201" t="inlineStr">
        <is>
          <t>EMD-3803</t>
        </is>
      </c>
      <c r="B1201" t="inlineStr">
        <is>
          <t>non-amyloid</t>
        </is>
      </c>
      <c r="C1201" t="n">
        <v>4.8</v>
      </c>
      <c r="D1201" t="n">
        <v>81</v>
      </c>
      <c r="E1201" t="n">
        <v>0</v>
      </c>
      <c r="F1201" t="inlineStr">
        <is>
          <t>C1</t>
        </is>
      </c>
      <c r="G1201" t="inlineStr">
        <is>
          <t>81</t>
        </is>
      </c>
      <c r="H1201" t="n">
        <v>0</v>
      </c>
      <c r="I1201" t="inlineStr">
        <is>
          <t>C1</t>
        </is>
      </c>
      <c r="J1201" t="n">
        <v>0</v>
      </c>
      <c r="K1201" t="inlineStr">
        <is>
          <t> </t>
        </is>
      </c>
      <c r="L1201" t="n">
        <v>0.95581</v>
      </c>
      <c r="M1201" t="n">
        <v>0.95581</v>
      </c>
      <c r="N1201" t="inlineStr">
        <is>
          <t>Yes</t>
        </is>
      </c>
      <c r="O1201" t="inlineStr">
        <is>
          <t>equal</t>
        </is>
      </c>
      <c r="P1201" t="inlineStr">
        <is>
          <t>deposited</t>
        </is>
      </c>
      <c r="Q1201" t="inlineStr"/>
      <c r="R1201" t="inlineStr"/>
      <c r="S1201">
        <f>HYPERLINK("https://helical-indexing-hi3d.streamlit.app/?emd_id=emd-3803&amp;rise=81&amp;twist=0.0&amp;csym=1&amp;rise2=81.0&amp;twist2=0.0&amp;csym2=1", "Link")</f>
        <v/>
      </c>
    </row>
    <row r="1202">
      <c r="A1202" t="inlineStr">
        <is>
          <t>EMD-26977</t>
        </is>
      </c>
      <c r="B1202" t="inlineStr">
        <is>
          <t>non-amyloid</t>
        </is>
      </c>
      <c r="C1202" t="n">
        <v>4.8</v>
      </c>
      <c r="D1202" t="n">
        <v>7.73</v>
      </c>
      <c r="E1202" t="n">
        <v>128.634</v>
      </c>
      <c r="F1202" t="inlineStr">
        <is>
          <t>C1</t>
        </is>
      </c>
      <c r="G1202" t="inlineStr">
        <is>
          <t>7.810791406</t>
        </is>
      </c>
      <c r="H1202" t="n">
        <v>-128.7142857</v>
      </c>
      <c r="I1202" t="inlineStr">
        <is>
          <t>C1</t>
        </is>
      </c>
      <c r="J1202" t="n">
        <v>34.65369667373724</v>
      </c>
      <c r="K1202" t="inlineStr">
        <is>
          <t> </t>
        </is>
      </c>
      <c r="L1202" t="n">
        <v>0.302262623</v>
      </c>
      <c r="M1202" t="n">
        <v>0.765344815</v>
      </c>
      <c r="N1202" t="inlineStr">
        <is>
          <t>Yes</t>
        </is>
      </c>
      <c r="O1202" t="inlineStr">
        <is>
          <t>improve</t>
        </is>
      </c>
      <c r="P1202" t="inlineStr">
        <is>
          <t>twist sign</t>
        </is>
      </c>
      <c r="Q1202" t="inlineStr"/>
      <c r="R1202" t="inlineStr"/>
      <c r="S1202">
        <f>HYPERLINK("https://helical-indexing-hi3d.streamlit.app/?emd_id=emd-26977&amp;rise=7.810791406&amp;twist=-128.7142857&amp;csym=1&amp;rise2=7.73&amp;twist2=128.634&amp;csym2=1", "Link")</f>
        <v/>
      </c>
    </row>
    <row r="1203">
      <c r="A1203" t="inlineStr">
        <is>
          <t>EMD-6663</t>
        </is>
      </c>
      <c r="B1203" t="inlineStr">
        <is>
          <t>non-amyloid</t>
        </is>
      </c>
      <c r="C1203" t="n">
        <v>4.85</v>
      </c>
      <c r="D1203" t="n">
        <v>4.9448</v>
      </c>
      <c r="E1203" t="n">
        <v>-101.188</v>
      </c>
      <c r="F1203" t="inlineStr">
        <is>
          <t>C1</t>
        </is>
      </c>
      <c r="G1203" t="inlineStr">
        <is>
          <t>5.056387252</t>
        </is>
      </c>
      <c r="H1203" t="n">
        <v>-101.1900893</v>
      </c>
      <c r="I1203" t="inlineStr">
        <is>
          <t>C1</t>
        </is>
      </c>
      <c r="J1203" t="n">
        <v>0.1115883639619876</v>
      </c>
      <c r="K1203" t="inlineStr"/>
      <c r="L1203" t="n">
        <v>0.8988699999999999</v>
      </c>
      <c r="M1203" t="n">
        <v>0.947635728</v>
      </c>
      <c r="N1203" t="inlineStr">
        <is>
          <t>Yes</t>
        </is>
      </c>
      <c r="O1203" t="inlineStr">
        <is>
          <t>improve</t>
        </is>
      </c>
      <c r="P1203" t="inlineStr">
        <is>
          <t>adjusted decimals</t>
        </is>
      </c>
      <c r="Q1203" t="inlineStr"/>
      <c r="R1203" t="inlineStr"/>
      <c r="S1203">
        <f>HYPERLINK("https://helical-indexing-hi3d.streamlit.app/?emd_id=emd-6663&amp;rise=5.056387252&amp;twist=-101.1900893&amp;csym=1&amp;rise2=4.9448&amp;twist2=-101.188&amp;csym2=1", "Link")</f>
        <v/>
      </c>
    </row>
    <row r="1204">
      <c r="A1204" t="inlineStr">
        <is>
          <t>EMD-11659</t>
        </is>
      </c>
      <c r="B1204" t="inlineStr">
        <is>
          <t>non-amyloid</t>
        </is>
      </c>
      <c r="C1204" t="n">
        <v>4.9</v>
      </c>
      <c r="D1204" t="n">
        <v>17.566</v>
      </c>
      <c r="E1204" t="n">
        <v>32.9436</v>
      </c>
      <c r="F1204" t="inlineStr">
        <is>
          <t>C6</t>
        </is>
      </c>
      <c r="G1204" t="inlineStr">
        <is>
          <t>17.566</t>
        </is>
      </c>
      <c r="H1204" t="n">
        <v>32.9436</v>
      </c>
      <c r="I1204" t="inlineStr">
        <is>
          <t>C6</t>
        </is>
      </c>
      <c r="J1204" t="n">
        <v>0</v>
      </c>
      <c r="K1204" t="inlineStr">
        <is>
          <t> </t>
        </is>
      </c>
      <c r="L1204" t="n">
        <v>0.81447</v>
      </c>
      <c r="M1204" t="n">
        <v>0.81447</v>
      </c>
      <c r="N1204" t="inlineStr">
        <is>
          <t>Yes</t>
        </is>
      </c>
      <c r="O1204" t="inlineStr">
        <is>
          <t>equal</t>
        </is>
      </c>
      <c r="P1204" t="inlineStr">
        <is>
          <t>deposited</t>
        </is>
      </c>
      <c r="Q1204" t="inlineStr"/>
      <c r="R1204" t="inlineStr"/>
      <c r="S1204">
        <f>HYPERLINK("https://helical-indexing-hi3d.streamlit.app/?emd_id=emd-11659&amp;rise=17.566&amp;twist=32.9436&amp;csym=6&amp;rise2=17.566&amp;twist2=32.9436&amp;csym2=6", "Link")</f>
        <v/>
      </c>
    </row>
    <row r="1205">
      <c r="A1205" t="inlineStr">
        <is>
          <t>EMD-41968</t>
        </is>
      </c>
      <c r="B1205" t="inlineStr">
        <is>
          <t>non-amyloid</t>
        </is>
      </c>
      <c r="C1205" t="n">
        <v>4.9</v>
      </c>
      <c r="D1205" t="n">
        <v>8.305999999999999</v>
      </c>
      <c r="E1205" t="n">
        <v>96.98</v>
      </c>
      <c r="F1205" t="inlineStr">
        <is>
          <t>C1</t>
        </is>
      </c>
      <c r="G1205" t="inlineStr">
        <is>
          <t>8.306</t>
        </is>
      </c>
      <c r="H1205" t="n">
        <v>96.98</v>
      </c>
      <c r="I1205" t="inlineStr">
        <is>
          <t>C1</t>
        </is>
      </c>
      <c r="J1205" t="n">
        <v>0</v>
      </c>
      <c r="K1205" t="inlineStr"/>
      <c r="L1205" t="n">
        <v>0.77284</v>
      </c>
      <c r="M1205" t="n">
        <v>0.77284</v>
      </c>
      <c r="N1205" t="inlineStr">
        <is>
          <t>Yes</t>
        </is>
      </c>
      <c r="O1205" t="inlineStr">
        <is>
          <t>equal</t>
        </is>
      </c>
      <c r="P1205" t="inlineStr">
        <is>
          <t>deposited</t>
        </is>
      </c>
      <c r="Q1205" t="inlineStr"/>
      <c r="R1205" t="inlineStr"/>
      <c r="S1205">
        <f>HYPERLINK("https://helical-indexing-hi3d.streamlit.app/?emd_id=emd-41968&amp;rise=8.306&amp;twist=96.98&amp;csym=1&amp;rise2=8.306&amp;twist2=96.98&amp;csym2=1", "Link")</f>
        <v/>
      </c>
    </row>
    <row r="1206">
      <c r="A1206" t="inlineStr">
        <is>
          <t>EMD-0013</t>
        </is>
      </c>
      <c r="B1206" t="inlineStr">
        <is>
          <t>non-amyloid</t>
        </is>
      </c>
      <c r="C1206" t="n">
        <v>4.9</v>
      </c>
      <c r="D1206" t="n">
        <v>5.082</v>
      </c>
      <c r="E1206" t="n">
        <v>-100.8</v>
      </c>
      <c r="F1206" t="inlineStr">
        <is>
          <t>C1</t>
        </is>
      </c>
      <c r="G1206" t="inlineStr">
        <is>
          <t>5.077905742</t>
        </is>
      </c>
      <c r="H1206" t="n">
        <v>-100.8114306</v>
      </c>
      <c r="I1206" t="inlineStr">
        <is>
          <t>C1</t>
        </is>
      </c>
      <c r="J1206" t="n">
        <v>0.005911667</v>
      </c>
      <c r="K1206" t="inlineStr"/>
      <c r="L1206" t="n">
        <v>0.9970599999999999</v>
      </c>
      <c r="M1206" t="n">
        <v>0.99863073</v>
      </c>
      <c r="N1206" t="inlineStr">
        <is>
          <t>Yes</t>
        </is>
      </c>
      <c r="O1206" t="inlineStr">
        <is>
          <t>improve</t>
        </is>
      </c>
      <c r="P1206" t="inlineStr">
        <is>
          <t>adjusted decimals</t>
        </is>
      </c>
      <c r="Q1206" t="inlineStr"/>
      <c r="R1206" t="inlineStr"/>
      <c r="S1206">
        <f>HYPERLINK("https://helical-indexing-hi3d.streamlit.app/?emd_id=emd-0013&amp;rise=5.077905742&amp;twist=-100.8114306&amp;csym=1&amp;rise2=5.082&amp;twist2=-100.8&amp;csym2=1", "Link")</f>
        <v/>
      </c>
    </row>
    <row r="1207">
      <c r="A1207" t="inlineStr">
        <is>
          <t>EMD-10228</t>
        </is>
      </c>
      <c r="B1207" t="inlineStr">
        <is>
          <t>non-amyloid</t>
        </is>
      </c>
      <c r="C1207" t="n">
        <v>4.9</v>
      </c>
      <c r="D1207" t="n">
        <v>6.39</v>
      </c>
      <c r="E1207" t="n">
        <v>-28.67</v>
      </c>
      <c r="F1207" t="inlineStr">
        <is>
          <t>C2</t>
        </is>
      </c>
      <c r="G1207" t="inlineStr"/>
      <c r="H1207" t="inlineStr"/>
      <c r="I1207" t="inlineStr">
        <is>
          <t>C1</t>
        </is>
      </c>
      <c r="J1207" t="inlineStr"/>
      <c r="K1207" t="inlineStr"/>
      <c r="L1207" t="inlineStr"/>
      <c r="M1207" t="inlineStr"/>
      <c r="N1207" t="inlineStr">
        <is>
          <t>No</t>
        </is>
      </c>
      <c r="O1207" t="inlineStr"/>
      <c r="P1207" t="inlineStr">
        <is>
          <t>single unit</t>
        </is>
      </c>
      <c r="Q1207" t="inlineStr"/>
      <c r="R1207" t="inlineStr"/>
      <c r="S1207">
        <f>HYPERLINK("https://helical-indexing-hi3d.streamlit.app/?emd_id=emd-10228&amp;rise=nan&amp;twist=nan&amp;csym=1&amp;rise2=6.39&amp;twist2=-28.67&amp;csym2=2", "Link")</f>
        <v/>
      </c>
    </row>
    <row r="1208">
      <c r="A1208" t="inlineStr">
        <is>
          <t>EMD-8812</t>
        </is>
      </c>
      <c r="B1208" t="inlineStr">
        <is>
          <t>non-amyloid</t>
        </is>
      </c>
      <c r="C1208" t="n">
        <v>5</v>
      </c>
      <c r="D1208" t="n">
        <v>10.2</v>
      </c>
      <c r="E1208" t="n">
        <v>83.2</v>
      </c>
      <c r="F1208" t="inlineStr">
        <is>
          <t>C1</t>
        </is>
      </c>
      <c r="G1208" t="inlineStr">
        <is>
          <t>10.19673716</t>
        </is>
      </c>
      <c r="H1208" t="n">
        <v>83.23874407</v>
      </c>
      <c r="I1208" t="inlineStr">
        <is>
          <t>C1</t>
        </is>
      </c>
      <c r="J1208" t="n">
        <v>0.010245871</v>
      </c>
      <c r="K1208" t="inlineStr"/>
      <c r="L1208" t="n">
        <v>0.99666</v>
      </c>
      <c r="M1208" t="n">
        <v>0.997744641</v>
      </c>
      <c r="N1208" t="inlineStr">
        <is>
          <t>Yes</t>
        </is>
      </c>
      <c r="O1208" t="inlineStr">
        <is>
          <t>improve</t>
        </is>
      </c>
      <c r="P1208" t="inlineStr">
        <is>
          <t>adjusted decimals</t>
        </is>
      </c>
      <c r="Q1208" t="inlineStr"/>
      <c r="R1208" t="inlineStr"/>
      <c r="S1208">
        <f>HYPERLINK("https://helical-indexing-hi3d.streamlit.app/?emd_id=emd-8812&amp;rise=10.19673716&amp;twist=83.23874407&amp;csym=1&amp;rise2=10.2&amp;twist2=83.2&amp;csym2=1", "Link")</f>
        <v/>
      </c>
    </row>
    <row r="1209">
      <c r="A1209" t="inlineStr">
        <is>
          <t>EMD-4046</t>
        </is>
      </c>
      <c r="B1209" t="inlineStr">
        <is>
          <t>non-amyloid</t>
        </is>
      </c>
      <c r="C1209" t="n">
        <v>5</v>
      </c>
      <c r="D1209" t="n">
        <v>12.5</v>
      </c>
      <c r="E1209" t="n">
        <v>28.1</v>
      </c>
      <c r="F1209" t="inlineStr">
        <is>
          <t>C5</t>
        </is>
      </c>
      <c r="G1209" t="inlineStr">
        <is>
          <t>12.58971751</t>
        </is>
      </c>
      <c r="H1209" t="n">
        <v>28.13113065</v>
      </c>
      <c r="I1209" t="inlineStr">
        <is>
          <t>C5</t>
        </is>
      </c>
      <c r="J1209" t="n">
        <v>0.090021511</v>
      </c>
      <c r="K1209" t="inlineStr"/>
      <c r="L1209" t="n">
        <v>0.97617</v>
      </c>
      <c r="M1209" t="n">
        <v>0.994638343</v>
      </c>
      <c r="N1209" t="inlineStr">
        <is>
          <t>Yes</t>
        </is>
      </c>
      <c r="O1209" t="inlineStr">
        <is>
          <t>improve</t>
        </is>
      </c>
      <c r="P1209" t="inlineStr">
        <is>
          <t>adjusted decimals</t>
        </is>
      </c>
      <c r="Q1209" t="inlineStr"/>
      <c r="R1209" t="inlineStr"/>
      <c r="S1209">
        <f>HYPERLINK("https://helical-indexing-hi3d.streamlit.app/?emd_id=emd-4046&amp;rise=12.58971751&amp;twist=28.13113065&amp;csym=5&amp;rise2=12.5&amp;twist2=28.1&amp;csym2=5", "Link")</f>
        <v/>
      </c>
    </row>
    <row r="1210">
      <c r="A1210" t="inlineStr">
        <is>
          <t>EMD-9064</t>
        </is>
      </c>
      <c r="B1210" t="inlineStr">
        <is>
          <t>non-amyloid</t>
        </is>
      </c>
      <c r="C1210" t="n">
        <v>5</v>
      </c>
      <c r="D1210" t="n">
        <v>6</v>
      </c>
      <c r="E1210" t="n">
        <v>138.9</v>
      </c>
      <c r="F1210" t="inlineStr">
        <is>
          <t>C1</t>
        </is>
      </c>
      <c r="G1210" t="inlineStr">
        <is>
          <t>6</t>
        </is>
      </c>
      <c r="H1210" t="n">
        <v>138.9</v>
      </c>
      <c r="I1210" t="inlineStr">
        <is>
          <t>C1</t>
        </is>
      </c>
      <c r="J1210" t="n">
        <v>0</v>
      </c>
      <c r="K1210" t="inlineStr"/>
      <c r="L1210" t="n">
        <v>0.99934</v>
      </c>
      <c r="M1210" t="n">
        <v>0.99934</v>
      </c>
      <c r="N1210" t="inlineStr">
        <is>
          <t>Yes</t>
        </is>
      </c>
      <c r="O1210" t="inlineStr">
        <is>
          <t>equal</t>
        </is>
      </c>
      <c r="P1210" t="inlineStr">
        <is>
          <t>deposited</t>
        </is>
      </c>
      <c r="Q1210" t="inlineStr"/>
      <c r="R1210" t="inlineStr"/>
      <c r="S1210">
        <f>HYPERLINK("https://helical-indexing-hi3d.streamlit.app/?emd_id=emd-9064&amp;rise=6&amp;twist=138.9&amp;csym=1&amp;rise2=6.0&amp;twist2=138.9&amp;csym2=1", "Link")</f>
        <v/>
      </c>
    </row>
    <row r="1211">
      <c r="A1211" t="inlineStr">
        <is>
          <t>EMD-6188</t>
        </is>
      </c>
      <c r="B1211" t="inlineStr">
        <is>
          <t>microtubule</t>
        </is>
      </c>
      <c r="C1211" t="n">
        <v>5</v>
      </c>
      <c r="D1211" t="n">
        <v>9.455</v>
      </c>
      <c r="E1211" t="n">
        <v>25.71</v>
      </c>
      <c r="F1211" t="inlineStr">
        <is>
          <t>C1</t>
        </is>
      </c>
      <c r="G1211" t="inlineStr">
        <is>
          <t>9.455</t>
        </is>
      </c>
      <c r="H1211" t="n">
        <v>25.71</v>
      </c>
      <c r="I1211" t="inlineStr">
        <is>
          <t>C1</t>
        </is>
      </c>
      <c r="J1211" t="n">
        <v>0</v>
      </c>
      <c r="K1211" t="inlineStr">
        <is>
          <t> </t>
        </is>
      </c>
      <c r="L1211" t="n">
        <v>0.67322</v>
      </c>
      <c r="M1211" t="n">
        <v>0.82348235</v>
      </c>
      <c r="N1211" t="inlineStr">
        <is>
          <t>Yes</t>
        </is>
      </c>
      <c r="O1211" t="inlineStr">
        <is>
          <t>improve</t>
        </is>
      </c>
      <c r="P1211" t="inlineStr">
        <is>
          <t>twist sign</t>
        </is>
      </c>
      <c r="Q1211" t="inlineStr"/>
      <c r="R1211" t="inlineStr"/>
      <c r="S1211">
        <f>HYPERLINK("https://helical-indexing-hi3d.streamlit.app/?emd_id=emd-6188&amp;rise=9.455&amp;twist=25.71&amp;csym=1&amp;rise2=9.455&amp;twist2=25.71&amp;csym2=1", "Link")</f>
        <v/>
      </c>
    </row>
    <row r="1212">
      <c r="A1212" t="inlineStr">
        <is>
          <t>EMD-8595</t>
        </is>
      </c>
      <c r="B1212" t="inlineStr">
        <is>
          <t>non-amyloid</t>
        </is>
      </c>
      <c r="C1212" t="n">
        <v>5</v>
      </c>
      <c r="D1212" t="n">
        <v>6.94</v>
      </c>
      <c r="E1212" t="n">
        <v>-31.13</v>
      </c>
      <c r="F1212" t="inlineStr">
        <is>
          <t>C1</t>
        </is>
      </c>
      <c r="G1212" t="inlineStr"/>
      <c r="H1212" t="inlineStr"/>
      <c r="I1212" t="inlineStr">
        <is>
          <t>C1</t>
        </is>
      </c>
      <c r="J1212" t="inlineStr"/>
      <c r="K1212" t="inlineStr">
        <is>
          <t> </t>
        </is>
      </c>
      <c r="L1212" t="n">
        <v>0.313856215</v>
      </c>
      <c r="M1212" t="n">
        <v>0.301779614</v>
      </c>
      <c r="N1212" t="inlineStr">
        <is>
          <t>Excluded</t>
        </is>
      </c>
      <c r="O1212" t="inlineStr">
        <is>
          <t>worse</t>
        </is>
      </c>
      <c r="P1212" t="inlineStr">
        <is>
          <t>xy-shifted</t>
        </is>
      </c>
      <c r="Q1212" t="inlineStr"/>
      <c r="R1212" t="inlineStr"/>
      <c r="S1212">
        <f>HYPERLINK("https://helical-indexing-hi3d.streamlit.app/?emd_id=emd-8595&amp;rise=nan&amp;twist=nan&amp;csym=1&amp;rise2=6.94&amp;twist2=-31.13&amp;csym2=1", "Link")</f>
        <v/>
      </c>
    </row>
    <row r="1213">
      <c r="A1213" t="inlineStr">
        <is>
          <t>EMD-10246</t>
        </is>
      </c>
      <c r="B1213" t="inlineStr">
        <is>
          <t>non-amyloid</t>
        </is>
      </c>
      <c r="C1213" t="n">
        <v>5</v>
      </c>
      <c r="D1213" t="n">
        <v>6.44</v>
      </c>
      <c r="E1213" t="n">
        <v>-28.68</v>
      </c>
      <c r="F1213" t="inlineStr">
        <is>
          <t>C2</t>
        </is>
      </c>
      <c r="G1213" t="inlineStr"/>
      <c r="H1213" t="inlineStr"/>
      <c r="I1213" t="inlineStr">
        <is>
          <t>C1</t>
        </is>
      </c>
      <c r="J1213" t="inlineStr"/>
      <c r="K1213" t="inlineStr"/>
      <c r="L1213" t="inlineStr"/>
      <c r="M1213" t="inlineStr"/>
      <c r="N1213" t="inlineStr">
        <is>
          <t>No</t>
        </is>
      </c>
      <c r="O1213" t="inlineStr"/>
      <c r="P1213" t="inlineStr">
        <is>
          <t>single unit</t>
        </is>
      </c>
      <c r="Q1213" t="inlineStr"/>
      <c r="R1213" t="inlineStr"/>
      <c r="S1213">
        <f>HYPERLINK("https://helical-indexing-hi3d.streamlit.app/?emd_id=emd-10246&amp;rise=nan&amp;twist=nan&amp;csym=1&amp;rise2=6.44&amp;twist2=-28.68&amp;csym2=2", "Link")</f>
        <v/>
      </c>
    </row>
    <row r="1214">
      <c r="A1214" t="inlineStr">
        <is>
          <t>EMD-10631</t>
        </is>
      </c>
      <c r="B1214" t="inlineStr">
        <is>
          <t>non-amyloid</t>
        </is>
      </c>
      <c r="C1214" t="n">
        <v>5</v>
      </c>
      <c r="D1214" t="n">
        <v>34.701</v>
      </c>
      <c r="E1214" t="n">
        <v>154.459</v>
      </c>
      <c r="F1214" t="inlineStr">
        <is>
          <t>C1</t>
        </is>
      </c>
      <c r="G1214" t="inlineStr">
        <is>
          <t>36.55022874</t>
        </is>
      </c>
      <c r="H1214" t="n">
        <v>153.866054</v>
      </c>
      <c r="I1214" t="inlineStr">
        <is>
          <t>C1</t>
        </is>
      </c>
      <c r="J1214" t="n">
        <v>1.876498725136503</v>
      </c>
      <c r="K1214" t="inlineStr">
        <is>
          <t> </t>
        </is>
      </c>
      <c r="L1214" t="n">
        <v>0.8539099999999999</v>
      </c>
      <c r="M1214" t="n">
        <v>0.858011748</v>
      </c>
      <c r="N1214" t="inlineStr">
        <is>
          <t>Yes</t>
        </is>
      </c>
      <c r="O1214" t="inlineStr">
        <is>
          <t>improve</t>
        </is>
      </c>
      <c r="P1214" t="inlineStr">
        <is>
          <t>adjusted decimals</t>
        </is>
      </c>
      <c r="Q1214" t="inlineStr"/>
      <c r="R1214" t="inlineStr"/>
      <c r="S1214">
        <f>HYPERLINK("https://helical-indexing-hi3d.streamlit.app/?emd_id=emd-10631&amp;rise=36.55022874&amp;twist=153.866054&amp;csym=1&amp;rise2=34.701&amp;twist2=154.459&amp;csym2=1", "Link")</f>
        <v/>
      </c>
    </row>
    <row r="1215">
      <c r="A1215" t="inlineStr">
        <is>
          <t>EMD-4044</t>
        </is>
      </c>
      <c r="B1215" t="inlineStr">
        <is>
          <t>non-amyloid</t>
        </is>
      </c>
      <c r="C1215" t="n">
        <v>5</v>
      </c>
      <c r="D1215" t="n">
        <v>13.2</v>
      </c>
      <c r="E1215" t="n">
        <v>27.9</v>
      </c>
      <c r="F1215" t="inlineStr">
        <is>
          <t>C5</t>
        </is>
      </c>
      <c r="G1215" t="inlineStr">
        <is>
          <t>13.25732199</t>
        </is>
      </c>
      <c r="H1215" t="n">
        <v>27.93923054</v>
      </c>
      <c r="I1215" t="inlineStr">
        <is>
          <t>C5</t>
        </is>
      </c>
      <c r="J1215" t="n">
        <v>0.058015642</v>
      </c>
      <c r="K1215" t="inlineStr"/>
      <c r="L1215" t="n">
        <v>0.9888</v>
      </c>
      <c r="M1215" t="n">
        <v>0.9946889719999999</v>
      </c>
      <c r="N1215" t="inlineStr">
        <is>
          <t>Yes</t>
        </is>
      </c>
      <c r="O1215" t="inlineStr">
        <is>
          <t>improve</t>
        </is>
      </c>
      <c r="P1215" t="inlineStr">
        <is>
          <t>adjusted decimals</t>
        </is>
      </c>
      <c r="Q1215" t="inlineStr"/>
      <c r="R1215" t="inlineStr"/>
      <c r="S1215">
        <f>HYPERLINK("https://helical-indexing-hi3d.streamlit.app/?emd_id=emd-4044&amp;rise=13.25732199&amp;twist=27.93923054&amp;csym=5&amp;rise2=13.2&amp;twist2=27.9&amp;csym2=5", "Link")</f>
        <v/>
      </c>
    </row>
    <row r="1216">
      <c r="A1216" t="inlineStr">
        <is>
          <t>EMD-6187</t>
        </is>
      </c>
      <c r="B1216" t="inlineStr">
        <is>
          <t>microtubule</t>
        </is>
      </c>
      <c r="C1216" t="n">
        <v>5</v>
      </c>
      <c r="D1216" t="n">
        <v>9.455</v>
      </c>
      <c r="E1216" t="n">
        <v>25.77</v>
      </c>
      <c r="F1216" t="inlineStr">
        <is>
          <t>C1</t>
        </is>
      </c>
      <c r="G1216" t="inlineStr">
        <is>
          <t>9.254368305</t>
        </is>
      </c>
      <c r="H1216" t="n">
        <v>-25.85714288</v>
      </c>
      <c r="I1216" t="inlineStr">
        <is>
          <t>C1</t>
        </is>
      </c>
      <c r="J1216" t="n">
        <v>12.99814148206571</v>
      </c>
      <c r="K1216" t="inlineStr">
        <is>
          <t> </t>
        </is>
      </c>
      <c r="L1216" t="n">
        <v>0.66253</v>
      </c>
      <c r="M1216" t="n">
        <v>0.854584656</v>
      </c>
      <c r="N1216" t="inlineStr">
        <is>
          <t>Yes</t>
        </is>
      </c>
      <c r="O1216" t="inlineStr">
        <is>
          <t>improve</t>
        </is>
      </c>
      <c r="P1216" t="inlineStr">
        <is>
          <t>twist sign</t>
        </is>
      </c>
      <c r="Q1216" t="inlineStr"/>
      <c r="R1216" t="inlineStr"/>
      <c r="S1216">
        <f>HYPERLINK("https://helical-indexing-hi3d.streamlit.app/?emd_id=emd-6187&amp;rise=9.254368305&amp;twist=-25.85714288&amp;csym=1&amp;rise2=9.455&amp;twist2=25.77&amp;csym2=1", "Link")</f>
        <v/>
      </c>
    </row>
    <row r="1217">
      <c r="A1217" t="inlineStr">
        <is>
          <t>EMD-25161</t>
        </is>
      </c>
      <c r="B1217" t="inlineStr">
        <is>
          <t>microtubule</t>
        </is>
      </c>
      <c r="C1217" t="n">
        <v>5</v>
      </c>
      <c r="D1217" t="n">
        <v>81.15000000000001</v>
      </c>
      <c r="E1217" t="n">
        <v>-0.29</v>
      </c>
      <c r="F1217" t="inlineStr">
        <is>
          <t>C1</t>
        </is>
      </c>
      <c r="G1217" t="inlineStr">
        <is>
          <t>81.15</t>
        </is>
      </c>
      <c r="H1217" t="n">
        <v>-0.29</v>
      </c>
      <c r="I1217" t="inlineStr">
        <is>
          <t>C1</t>
        </is>
      </c>
      <c r="J1217" t="n">
        <v>0</v>
      </c>
      <c r="K1217" t="inlineStr">
        <is>
          <t> </t>
        </is>
      </c>
      <c r="L1217" t="n">
        <v>0.95359</v>
      </c>
      <c r="M1217" t="n">
        <v>0.95359</v>
      </c>
      <c r="N1217" t="inlineStr">
        <is>
          <t>Yes</t>
        </is>
      </c>
      <c r="O1217" t="inlineStr">
        <is>
          <t>equal</t>
        </is>
      </c>
      <c r="P1217" t="inlineStr">
        <is>
          <t>deposited</t>
        </is>
      </c>
      <c r="Q1217" t="inlineStr"/>
      <c r="R1217" t="inlineStr"/>
      <c r="S1217">
        <f>HYPERLINK("https://helical-indexing-hi3d.streamlit.app/?emd_id=emd-25161&amp;rise=81.15&amp;twist=-0.29&amp;csym=1&amp;rise2=81.15&amp;twist2=-0.29&amp;csym2=1", "Link")</f>
        <v/>
      </c>
    </row>
    <row r="1218">
      <c r="A1218" t="inlineStr">
        <is>
          <t>EMD-25371</t>
        </is>
      </c>
      <c r="B1218" t="inlineStr">
        <is>
          <t>non-amyloid</t>
        </is>
      </c>
      <c r="C1218" t="n">
        <v>5.1</v>
      </c>
      <c r="D1218" t="n">
        <v>28</v>
      </c>
      <c r="E1218" t="n">
        <v>-166.5</v>
      </c>
      <c r="F1218" t="inlineStr">
        <is>
          <t>C1</t>
        </is>
      </c>
      <c r="G1218" t="inlineStr">
        <is>
          <t>27.87650848</t>
        </is>
      </c>
      <c r="H1218" t="n">
        <v>-166.6065269</v>
      </c>
      <c r="I1218" t="inlineStr">
        <is>
          <t>C1</t>
        </is>
      </c>
      <c r="J1218" t="n">
        <v>0.1256093470636595</v>
      </c>
      <c r="K1218" t="inlineStr"/>
      <c r="L1218" t="n">
        <v>0.97566</v>
      </c>
      <c r="M1218" t="n">
        <v>0.976753647</v>
      </c>
      <c r="N1218" t="inlineStr">
        <is>
          <t>Yes</t>
        </is>
      </c>
      <c r="O1218" t="inlineStr">
        <is>
          <t>improve</t>
        </is>
      </c>
      <c r="P1218" t="inlineStr">
        <is>
          <t>adjusted decimals</t>
        </is>
      </c>
      <c r="Q1218" t="inlineStr"/>
      <c r="R1218" t="inlineStr"/>
      <c r="S1218">
        <f>HYPERLINK("https://helical-indexing-hi3d.streamlit.app/?emd_id=emd-25371&amp;rise=27.87650848&amp;twist=-166.6065269&amp;csym=1&amp;rise2=28.0&amp;twist2=-166.5&amp;csym2=1", "Link")</f>
        <v/>
      </c>
    </row>
    <row r="1219">
      <c r="A1219" t="inlineStr">
        <is>
          <t>EMD-8739</t>
        </is>
      </c>
      <c r="B1219" t="inlineStr">
        <is>
          <t>non-amyloid</t>
        </is>
      </c>
      <c r="C1219" t="n">
        <v>5.1</v>
      </c>
      <c r="D1219" t="n">
        <v>10.1</v>
      </c>
      <c r="E1219" t="n">
        <v>100.8</v>
      </c>
      <c r="F1219" t="inlineStr">
        <is>
          <t>C1</t>
        </is>
      </c>
      <c r="G1219" t="inlineStr">
        <is>
          <t>10.1</t>
        </is>
      </c>
      <c r="H1219" t="n">
        <v>100.8</v>
      </c>
      <c r="I1219" t="inlineStr">
        <is>
          <t>C1</t>
        </is>
      </c>
      <c r="J1219" t="n">
        <v>0</v>
      </c>
      <c r="K1219" t="inlineStr"/>
      <c r="L1219" t="inlineStr"/>
      <c r="M1219" t="inlineStr"/>
      <c r="N1219" t="inlineStr">
        <is>
          <t>Excluded</t>
        </is>
      </c>
      <c r="O1219" t="inlineStr">
        <is>
          <t>equal</t>
        </is>
      </c>
      <c r="P1219" t="inlineStr">
        <is>
          <t>z-shifted</t>
        </is>
      </c>
      <c r="Q1219" t="inlineStr"/>
      <c r="R1219" t="inlineStr"/>
      <c r="S1219">
        <f>HYPERLINK("https://helical-indexing-hi3d.streamlit.app/?emd_id=emd-8739&amp;rise=10.1&amp;twist=100.8&amp;csym=1&amp;rise2=10.1&amp;twist2=100.8&amp;csym2=1", "Link")</f>
        <v/>
      </c>
    </row>
    <row r="1220">
      <c r="A1220" t="inlineStr">
        <is>
          <t>EMD-24585</t>
        </is>
      </c>
      <c r="B1220" t="inlineStr">
        <is>
          <t>non-amyloid</t>
        </is>
      </c>
      <c r="C1220" t="n">
        <v>5.1</v>
      </c>
      <c r="D1220" t="n">
        <v>5.15</v>
      </c>
      <c r="E1220" t="n">
        <v>-9</v>
      </c>
      <c r="F1220" t="inlineStr">
        <is>
          <t>C7</t>
        </is>
      </c>
      <c r="G1220" t="inlineStr">
        <is>
          <t>5.15</t>
        </is>
      </c>
      <c r="H1220" t="n">
        <v>-9</v>
      </c>
      <c r="I1220" t="inlineStr">
        <is>
          <t>C7</t>
        </is>
      </c>
      <c r="J1220" t="n">
        <v>0</v>
      </c>
      <c r="K1220" t="inlineStr">
        <is>
          <t> </t>
        </is>
      </c>
      <c r="L1220" t="n">
        <v>0.969274847</v>
      </c>
      <c r="M1220" t="n">
        <v>0.969274847</v>
      </c>
      <c r="N1220" t="inlineStr">
        <is>
          <t>Yes</t>
        </is>
      </c>
      <c r="O1220" t="inlineStr">
        <is>
          <t>equal</t>
        </is>
      </c>
      <c r="P1220" t="inlineStr">
        <is>
          <t>deposited</t>
        </is>
      </c>
      <c r="Q1220" t="inlineStr"/>
      <c r="R1220" t="inlineStr"/>
      <c r="S1220">
        <f>HYPERLINK("https://helical-indexing-hi3d.streamlit.app/?emd_id=emd-24585&amp;rise=5.15&amp;twist=-9.0&amp;csym=7&amp;rise2=5.15&amp;twist2=-9.0&amp;csym2=7", "Link")</f>
        <v/>
      </c>
    </row>
    <row r="1221">
      <c r="A1221" t="inlineStr">
        <is>
          <t>EMD-40213</t>
        </is>
      </c>
      <c r="B1221" t="inlineStr">
        <is>
          <t>non-amyloid</t>
        </is>
      </c>
      <c r="C1221" t="n">
        <v>5.16</v>
      </c>
      <c r="D1221" t="n">
        <v>14.07</v>
      </c>
      <c r="E1221" t="n">
        <v>37.25</v>
      </c>
      <c r="F1221" t="inlineStr">
        <is>
          <t>C1</t>
        </is>
      </c>
      <c r="G1221" t="inlineStr"/>
      <c r="H1221" t="inlineStr"/>
      <c r="I1221" t="inlineStr">
        <is>
          <t>C1</t>
        </is>
      </c>
      <c r="J1221" t="inlineStr"/>
      <c r="K1221" t="inlineStr">
        <is>
          <t> </t>
        </is>
      </c>
      <c r="L1221" t="n">
        <v>0.192807643</v>
      </c>
      <c r="M1221" t="inlineStr"/>
      <c r="N1221" t="inlineStr">
        <is>
          <t>Excluded</t>
        </is>
      </c>
      <c r="O1221" t="inlineStr">
        <is>
          <t>worse</t>
        </is>
      </c>
      <c r="P1221" t="inlineStr">
        <is>
          <t>partial map</t>
        </is>
      </c>
      <c r="Q1221" t="inlineStr"/>
      <c r="R1221" t="inlineStr"/>
      <c r="S1221">
        <f>HYPERLINK("https://helical-indexing-hi3d.streamlit.app/?emd_id=emd-40213&amp;rise=nan&amp;twist=nan&amp;csym=1&amp;rise2=14.07&amp;twist2=37.25&amp;csym2=1", "Link")</f>
        <v/>
      </c>
    </row>
    <row r="1222">
      <c r="A1222" t="inlineStr">
        <is>
          <t>EMD-6664</t>
        </is>
      </c>
      <c r="B1222" t="inlineStr">
        <is>
          <t>non-amyloid</t>
        </is>
      </c>
      <c r="C1222" t="n">
        <v>5.2</v>
      </c>
      <c r="D1222" t="n">
        <v>27.6</v>
      </c>
      <c r="E1222" t="n">
        <v>166.7</v>
      </c>
      <c r="F1222" t="inlineStr">
        <is>
          <t>C1</t>
        </is>
      </c>
      <c r="G1222" t="inlineStr">
        <is>
          <t>27.63390814</t>
        </is>
      </c>
      <c r="H1222" t="n">
        <v>-166.6284233</v>
      </c>
      <c r="I1222" t="inlineStr">
        <is>
          <t>C1</t>
        </is>
      </c>
      <c r="J1222" t="n">
        <v>5.204022272134117</v>
      </c>
      <c r="K1222" t="inlineStr">
        <is>
          <t> </t>
        </is>
      </c>
      <c r="L1222" t="n">
        <v>0.15788</v>
      </c>
      <c r="M1222" t="n">
        <v>0.995913428</v>
      </c>
      <c r="N1222" t="inlineStr">
        <is>
          <t>Yes</t>
        </is>
      </c>
      <c r="O1222" t="inlineStr">
        <is>
          <t>improve</t>
        </is>
      </c>
      <c r="P1222" t="inlineStr">
        <is>
          <t>twist sign</t>
        </is>
      </c>
      <c r="Q1222" t="inlineStr"/>
      <c r="R1222" t="inlineStr"/>
      <c r="S1222">
        <f>HYPERLINK("https://helical-indexing-hi3d.streamlit.app/?emd_id=emd-6664&amp;rise=27.63390814&amp;twist=-166.6284233&amp;csym=1&amp;rise2=27.6&amp;twist2=166.7&amp;csym2=1", "Link")</f>
        <v/>
      </c>
    </row>
    <row r="1223">
      <c r="A1223" t="inlineStr">
        <is>
          <t>EMD-3780</t>
        </is>
      </c>
      <c r="B1223" t="inlineStr">
        <is>
          <t>non-amyloid</t>
        </is>
      </c>
      <c r="C1223" t="n">
        <v>5.2</v>
      </c>
      <c r="D1223" t="n">
        <v>81</v>
      </c>
      <c r="E1223" t="n">
        <v>0</v>
      </c>
      <c r="F1223" t="inlineStr">
        <is>
          <t>C1</t>
        </is>
      </c>
      <c r="G1223" t="inlineStr">
        <is>
          <t>81</t>
        </is>
      </c>
      <c r="H1223" t="n">
        <v>0</v>
      </c>
      <c r="I1223" t="inlineStr">
        <is>
          <t>C1</t>
        </is>
      </c>
      <c r="J1223" t="n">
        <v>0</v>
      </c>
      <c r="K1223" t="inlineStr">
        <is>
          <t> </t>
        </is>
      </c>
      <c r="L1223" t="n">
        <v>0.97924</v>
      </c>
      <c r="M1223" t="n">
        <v>0.97924</v>
      </c>
      <c r="N1223" t="inlineStr">
        <is>
          <t>Yes</t>
        </is>
      </c>
      <c r="O1223" t="inlineStr">
        <is>
          <t>equal</t>
        </is>
      </c>
      <c r="P1223" t="inlineStr">
        <is>
          <t>deposited</t>
        </is>
      </c>
      <c r="Q1223" t="inlineStr"/>
      <c r="R1223" t="inlineStr"/>
      <c r="S1223">
        <f>HYPERLINK("https://helical-indexing-hi3d.streamlit.app/?emd_id=emd-3780&amp;rise=81&amp;twist=0.0&amp;csym=1&amp;rise2=81.0&amp;twist2=0.0&amp;csym2=1", "Link")</f>
        <v/>
      </c>
    </row>
    <row r="1224">
      <c r="A1224" t="inlineStr">
        <is>
          <t>EMD-10373</t>
        </is>
      </c>
      <c r="B1224" t="inlineStr">
        <is>
          <t>non-amyloid</t>
        </is>
      </c>
      <c r="C1224" t="n">
        <v>5.2</v>
      </c>
      <c r="D1224" t="n">
        <v>4</v>
      </c>
      <c r="E1224" t="n">
        <v>-40.8</v>
      </c>
      <c r="F1224" t="inlineStr">
        <is>
          <t>C1</t>
        </is>
      </c>
      <c r="G1224" t="inlineStr">
        <is>
          <t>4</t>
        </is>
      </c>
      <c r="H1224" t="n">
        <v>-40.8</v>
      </c>
      <c r="I1224" t="inlineStr">
        <is>
          <t>C1</t>
        </is>
      </c>
      <c r="J1224" t="n">
        <v>0</v>
      </c>
      <c r="K1224" t="inlineStr"/>
      <c r="L1224" t="n">
        <v>0.97124</v>
      </c>
      <c r="M1224" t="n">
        <v>0.97124</v>
      </c>
      <c r="N1224" t="inlineStr">
        <is>
          <t>Yes</t>
        </is>
      </c>
      <c r="O1224" t="inlineStr">
        <is>
          <t>equal</t>
        </is>
      </c>
      <c r="P1224" t="inlineStr">
        <is>
          <t>deposited</t>
        </is>
      </c>
      <c r="Q1224" t="inlineStr"/>
      <c r="R1224" t="inlineStr"/>
      <c r="S1224">
        <f>HYPERLINK("https://helical-indexing-hi3d.streamlit.app/?emd_id=emd-10373&amp;rise=4&amp;twist=-40.8&amp;csym=1&amp;rise2=4.0&amp;twist2=-40.8&amp;csym2=1", "Link")</f>
        <v/>
      </c>
    </row>
    <row r="1225">
      <c r="A1225" t="inlineStr">
        <is>
          <t>EMD-16435</t>
        </is>
      </c>
      <c r="B1225" t="inlineStr">
        <is>
          <t>microtubule</t>
        </is>
      </c>
      <c r="C1225" t="n">
        <v>5.3</v>
      </c>
      <c r="D1225" t="n">
        <v>9.539999999999999</v>
      </c>
      <c r="E1225" t="n">
        <v>-27.68</v>
      </c>
      <c r="F1225" t="inlineStr">
        <is>
          <t>C1</t>
        </is>
      </c>
      <c r="G1225" t="inlineStr">
        <is>
          <t>3.2</t>
        </is>
      </c>
      <c r="H1225" t="n">
        <v>110.77</v>
      </c>
      <c r="I1225" t="inlineStr">
        <is>
          <t>C1</t>
        </is>
      </c>
      <c r="J1225" t="n">
        <v>20.51295027310856</v>
      </c>
      <c r="K1225" t="inlineStr">
        <is>
          <t> </t>
        </is>
      </c>
      <c r="L1225" t="n">
        <v>0.82378</v>
      </c>
      <c r="M1225" t="n">
        <v>0.89023</v>
      </c>
      <c r="N1225" t="inlineStr">
        <is>
          <t>Yes</t>
        </is>
      </c>
      <c r="O1225" t="inlineStr">
        <is>
          <t>improve</t>
        </is>
      </c>
      <c r="P1225" t="inlineStr">
        <is>
          <t>different</t>
        </is>
      </c>
      <c r="Q1225" t="inlineStr">
        <is>
          <t>partial symmetry</t>
        </is>
      </c>
      <c r="R1225" t="inlineStr"/>
      <c r="S1225">
        <f>HYPERLINK("https://helical-indexing-hi3d.streamlit.app/?emd_id=emd-16435&amp;rise=3.2&amp;twist=110.77&amp;csym=1&amp;rise2=9.54&amp;twist2=-27.68&amp;csym2=1", "Link")</f>
        <v/>
      </c>
    </row>
    <row r="1226">
      <c r="A1226" t="inlineStr">
        <is>
          <t>EMD-18044</t>
        </is>
      </c>
      <c r="B1226" t="inlineStr">
        <is>
          <t>non-amyloid</t>
        </is>
      </c>
      <c r="C1226" t="n">
        <v>5.3</v>
      </c>
      <c r="D1226" t="n">
        <v>24.27</v>
      </c>
      <c r="E1226" t="n">
        <v>57.41</v>
      </c>
      <c r="F1226" t="inlineStr">
        <is>
          <t>C2</t>
        </is>
      </c>
      <c r="G1226" t="inlineStr"/>
      <c r="H1226" t="inlineStr"/>
      <c r="I1226" t="inlineStr">
        <is>
          <t>C2</t>
        </is>
      </c>
      <c r="J1226" t="inlineStr"/>
      <c r="K1226" t="inlineStr">
        <is>
          <t> </t>
        </is>
      </c>
      <c r="L1226" t="n">
        <v>0.38943</v>
      </c>
      <c r="M1226" t="n">
        <v>0.165638608</v>
      </c>
      <c r="N1226" t="inlineStr">
        <is>
          <t>Excluded</t>
        </is>
      </c>
      <c r="O1226" t="inlineStr">
        <is>
          <t>worse</t>
        </is>
      </c>
      <c r="P1226" t="inlineStr">
        <is>
          <t>focus reconstruction</t>
        </is>
      </c>
      <c r="Q1226" t="inlineStr"/>
      <c r="R1226" t="inlineStr"/>
      <c r="S1226">
        <f>HYPERLINK("https://helical-indexing-hi3d.streamlit.app/?emd_id=emd-18044&amp;rise=nan&amp;twist=nan&amp;csym=2&amp;rise2=24.27&amp;twist2=57.41&amp;csym2=2", "Link")</f>
        <v/>
      </c>
    </row>
    <row r="1227">
      <c r="A1227" t="inlineStr">
        <is>
          <t>EMD-6779</t>
        </is>
      </c>
      <c r="B1227" t="inlineStr">
        <is>
          <t>microtubule</t>
        </is>
      </c>
      <c r="C1227" t="n">
        <v>5.35</v>
      </c>
      <c r="D1227" t="n">
        <v>8.706619999999999</v>
      </c>
      <c r="E1227" t="n">
        <v>-25.7617</v>
      </c>
      <c r="F1227" t="inlineStr">
        <is>
          <t>C1</t>
        </is>
      </c>
      <c r="G1227" t="inlineStr"/>
      <c r="H1227" t="inlineStr"/>
      <c r="I1227" t="inlineStr">
        <is>
          <t>C1</t>
        </is>
      </c>
      <c r="J1227" t="inlineStr"/>
      <c r="K1227" t="inlineStr">
        <is>
          <t> </t>
        </is>
      </c>
      <c r="L1227" t="n">
        <v>0.39147</v>
      </c>
      <c r="M1227" t="inlineStr"/>
      <c r="N1227" t="inlineStr">
        <is>
          <t>Excluded</t>
        </is>
      </c>
      <c r="O1227" t="inlineStr">
        <is>
          <t>worse</t>
        </is>
      </c>
      <c r="P1227" t="inlineStr">
        <is>
          <t>partial map</t>
        </is>
      </c>
      <c r="Q1227" t="inlineStr"/>
      <c r="R1227" t="inlineStr"/>
      <c r="S1227">
        <f>HYPERLINK("https://helical-indexing-hi3d.streamlit.app/?emd_id=emd-6779&amp;rise=nan&amp;twist=nan&amp;csym=1&amp;rise2=8.70662&amp;twist2=-25.7617&amp;csym2=1", "Link")</f>
        <v/>
      </c>
    </row>
    <row r="1228">
      <c r="A1228" t="inlineStr">
        <is>
          <t>EMD-9017</t>
        </is>
      </c>
      <c r="B1228" t="inlineStr">
        <is>
          <t>non-amyloid</t>
        </is>
      </c>
      <c r="C1228" t="n">
        <v>5.4</v>
      </c>
      <c r="D1228" t="n">
        <v>9.10835</v>
      </c>
      <c r="E1228" t="n">
        <v>40.93287</v>
      </c>
      <c r="F1228" t="inlineStr">
        <is>
          <t>C2</t>
        </is>
      </c>
      <c r="G1228" t="inlineStr">
        <is>
          <t>9.10835</t>
        </is>
      </c>
      <c r="H1228" t="n">
        <v>40.93287</v>
      </c>
      <c r="I1228" t="inlineStr">
        <is>
          <t>C2</t>
        </is>
      </c>
      <c r="J1228" t="n">
        <v>0</v>
      </c>
      <c r="K1228" t="inlineStr"/>
      <c r="L1228" t="n">
        <v>0.98919</v>
      </c>
      <c r="M1228" t="n">
        <v>0.98919</v>
      </c>
      <c r="N1228" t="inlineStr">
        <is>
          <t>Yes</t>
        </is>
      </c>
      <c r="O1228" t="inlineStr">
        <is>
          <t>equal</t>
        </is>
      </c>
      <c r="P1228" t="inlineStr">
        <is>
          <t>deposited</t>
        </is>
      </c>
      <c r="Q1228" t="inlineStr"/>
      <c r="R1228" t="inlineStr"/>
      <c r="S1228">
        <f>HYPERLINK("https://helical-indexing-hi3d.streamlit.app/?emd_id=emd-9017&amp;rise=9.10835&amp;twist=40.93287&amp;csym=2&amp;rise2=9.10835&amp;twist2=40.93287&amp;csym2=2", "Link")</f>
        <v/>
      </c>
    </row>
    <row r="1229">
      <c r="A1229" t="inlineStr">
        <is>
          <t>EMD-20241</t>
        </is>
      </c>
      <c r="B1229" t="inlineStr">
        <is>
          <t>non-amyloid</t>
        </is>
      </c>
      <c r="C1229" t="n">
        <v>5.4</v>
      </c>
      <c r="D1229" t="n">
        <v>42.8</v>
      </c>
      <c r="E1229" t="n">
        <v>17.5</v>
      </c>
      <c r="F1229" t="inlineStr">
        <is>
          <t>C6</t>
        </is>
      </c>
      <c r="G1229" t="inlineStr">
        <is>
          <t>42.8</t>
        </is>
      </c>
      <c r="H1229" t="n">
        <v>17.5</v>
      </c>
      <c r="I1229" t="inlineStr">
        <is>
          <t>C6</t>
        </is>
      </c>
      <c r="J1229" t="n">
        <v>0</v>
      </c>
      <c r="K1229" t="inlineStr"/>
      <c r="L1229" t="n">
        <v>0.96676</v>
      </c>
      <c r="M1229" t="n">
        <v>0.96676</v>
      </c>
      <c r="N1229" t="inlineStr">
        <is>
          <t>Yes</t>
        </is>
      </c>
      <c r="O1229" t="inlineStr">
        <is>
          <t>equal</t>
        </is>
      </c>
      <c r="P1229" t="inlineStr">
        <is>
          <t>deposited</t>
        </is>
      </c>
      <c r="Q1229" t="inlineStr"/>
      <c r="R1229" t="inlineStr"/>
      <c r="S1229">
        <f>HYPERLINK("https://helical-indexing-hi3d.streamlit.app/?emd_id=emd-20241&amp;rise=42.8&amp;twist=17.5&amp;csym=6&amp;rise2=42.8&amp;twist2=17.5&amp;csym2=6", "Link")</f>
        <v/>
      </c>
    </row>
    <row r="1230">
      <c r="A1230" t="inlineStr">
        <is>
          <t>EMD-15495</t>
        </is>
      </c>
      <c r="B1230" t="inlineStr">
        <is>
          <t>non-amyloid</t>
        </is>
      </c>
      <c r="C1230" t="n">
        <v>5.4</v>
      </c>
      <c r="D1230" t="n">
        <v>5.64</v>
      </c>
      <c r="E1230" t="n">
        <v>22.9</v>
      </c>
      <c r="F1230" t="inlineStr">
        <is>
          <t>C3</t>
        </is>
      </c>
      <c r="G1230" t="inlineStr">
        <is>
          <t>5.616459691</t>
        </is>
      </c>
      <c r="H1230" t="n">
        <v>22.94527822</v>
      </c>
      <c r="I1230" t="inlineStr">
        <is>
          <t>C3</t>
        </is>
      </c>
      <c r="J1230" t="n">
        <v>0.029371543711615</v>
      </c>
      <c r="K1230" t="inlineStr"/>
      <c r="L1230" t="n">
        <v>0.856549229</v>
      </c>
      <c r="M1230" t="n">
        <v>0.861097396</v>
      </c>
      <c r="N1230" t="inlineStr">
        <is>
          <t>Yes</t>
        </is>
      </c>
      <c r="O1230" t="inlineStr">
        <is>
          <t>improve</t>
        </is>
      </c>
      <c r="P1230" t="inlineStr">
        <is>
          <t>adjusted decimals</t>
        </is>
      </c>
      <c r="Q1230" t="inlineStr"/>
      <c r="R1230" t="inlineStr"/>
      <c r="S1230">
        <f>HYPERLINK("https://helical-indexing-hi3d.streamlit.app/?emd_id=emd-15495&amp;rise=5.616459691&amp;twist=22.94527822&amp;csym=3&amp;rise2=5.64&amp;twist2=22.9&amp;csym2=3", "Link")</f>
        <v/>
      </c>
    </row>
    <row r="1231">
      <c r="A1231" t="inlineStr">
        <is>
          <t>EMD-28063</t>
        </is>
      </c>
      <c r="B1231" t="inlineStr">
        <is>
          <t>non-amyloid</t>
        </is>
      </c>
      <c r="C1231" t="n">
        <v>5.48</v>
      </c>
      <c r="D1231" t="n">
        <v>12.933</v>
      </c>
      <c r="E1231" t="n">
        <v>37.439</v>
      </c>
      <c r="F1231" t="inlineStr">
        <is>
          <t>C1</t>
        </is>
      </c>
      <c r="G1231" t="inlineStr">
        <is>
          <t>6.43</t>
        </is>
      </c>
      <c r="H1231" t="n">
        <v>-161.28</v>
      </c>
      <c r="I1231" t="inlineStr">
        <is>
          <t>C1</t>
        </is>
      </c>
      <c r="J1231" t="n">
        <v>116.7208332355975</v>
      </c>
      <c r="K1231" t="inlineStr">
        <is>
          <t> </t>
        </is>
      </c>
      <c r="L1231" t="n">
        <v>0.917214953</v>
      </c>
      <c r="M1231" t="n">
        <v>0.9512123730000001</v>
      </c>
      <c r="N1231" t="inlineStr">
        <is>
          <t>Yes</t>
        </is>
      </c>
      <c r="O1231" t="inlineStr">
        <is>
          <t>improve</t>
        </is>
      </c>
      <c r="P1231" t="inlineStr">
        <is>
          <t>different</t>
        </is>
      </c>
      <c r="Q1231" t="inlineStr">
        <is>
          <t>partial symmetry</t>
        </is>
      </c>
      <c r="R1231" t="inlineStr"/>
      <c r="S1231">
        <f>HYPERLINK("https://helical-indexing-hi3d.streamlit.app/?emd_id=emd-28063&amp;rise=6.43&amp;twist=-161.28&amp;csym=1&amp;rise2=12.933&amp;twist2=37.439&amp;csym2=1", "Link")</f>
        <v/>
      </c>
    </row>
    <row r="1232">
      <c r="A1232" t="inlineStr">
        <is>
          <t>EMD-14942</t>
        </is>
      </c>
      <c r="B1232" t="inlineStr">
        <is>
          <t>non-amyloid</t>
        </is>
      </c>
      <c r="C1232" t="n">
        <v>5.5</v>
      </c>
      <c r="D1232" t="n">
        <v>5.88</v>
      </c>
      <c r="E1232" t="n">
        <v>146.981</v>
      </c>
      <c r="F1232" t="inlineStr">
        <is>
          <t>D1</t>
        </is>
      </c>
      <c r="G1232" t="inlineStr">
        <is>
          <t>5.88</t>
        </is>
      </c>
      <c r="H1232" t="n">
        <v>146.981</v>
      </c>
      <c r="I1232" t="inlineStr">
        <is>
          <t>CD1</t>
        </is>
      </c>
      <c r="J1232" t="n">
        <v>0</v>
      </c>
      <c r="K1232" t="inlineStr"/>
      <c r="L1232" t="n">
        <v>0.984687277</v>
      </c>
      <c r="M1232" t="n">
        <v>0.984687277</v>
      </c>
      <c r="N1232" t="inlineStr">
        <is>
          <t>Yes</t>
        </is>
      </c>
      <c r="O1232" t="inlineStr">
        <is>
          <t>equal</t>
        </is>
      </c>
      <c r="P1232" t="inlineStr">
        <is>
          <t>deposited</t>
        </is>
      </c>
      <c r="Q1232" t="inlineStr"/>
      <c r="R1232" t="inlineStr"/>
      <c r="S1232">
        <f>HYPERLINK("https://helical-indexing-hi3d.streamlit.app/?emd_id=emd-14942&amp;rise=5.88&amp;twist=146.981&amp;csym=D1&amp;rise2=5.88&amp;twist2=146.981&amp;csym2=1", "Link")</f>
        <v/>
      </c>
    </row>
    <row r="1233">
      <c r="A1233" t="inlineStr">
        <is>
          <t>EMD-14946</t>
        </is>
      </c>
      <c r="B1233" t="inlineStr">
        <is>
          <t>non-amyloid</t>
        </is>
      </c>
      <c r="C1233" t="n">
        <v>5.5</v>
      </c>
      <c r="D1233" t="n">
        <v>5.83</v>
      </c>
      <c r="E1233" t="n">
        <v>146.971</v>
      </c>
      <c r="F1233" t="inlineStr">
        <is>
          <t>D1</t>
        </is>
      </c>
      <c r="G1233" t="inlineStr">
        <is>
          <t>5.83</t>
        </is>
      </c>
      <c r="H1233" t="n">
        <v>146.971</v>
      </c>
      <c r="I1233" t="inlineStr">
        <is>
          <t>CD1</t>
        </is>
      </c>
      <c r="J1233" t="n">
        <v>0</v>
      </c>
      <c r="K1233" t="inlineStr"/>
      <c r="L1233" t="n">
        <v>0.984653465</v>
      </c>
      <c r="M1233" t="n">
        <v>0.984653465</v>
      </c>
      <c r="N1233" t="inlineStr">
        <is>
          <t>Yes</t>
        </is>
      </c>
      <c r="O1233" t="inlineStr">
        <is>
          <t>equal</t>
        </is>
      </c>
      <c r="P1233" t="inlineStr">
        <is>
          <t>deposited</t>
        </is>
      </c>
      <c r="Q1233" t="inlineStr"/>
      <c r="R1233" t="inlineStr"/>
      <c r="S1233">
        <f>HYPERLINK("https://helical-indexing-hi3d.streamlit.app/?emd_id=emd-14946&amp;rise=5.83&amp;twist=146.971&amp;csym=D1&amp;rise2=5.83&amp;twist2=146.971&amp;csym2=1", "Link")</f>
        <v/>
      </c>
    </row>
    <row r="1234">
      <c r="A1234" t="inlineStr">
        <is>
          <t>EMD-3778</t>
        </is>
      </c>
      <c r="B1234" t="inlineStr">
        <is>
          <t>non-amyloid</t>
        </is>
      </c>
      <c r="C1234" t="n">
        <v>5.5</v>
      </c>
      <c r="D1234" t="n">
        <v>81</v>
      </c>
      <c r="E1234" t="n">
        <v>0</v>
      </c>
      <c r="F1234" t="inlineStr">
        <is>
          <t>C1</t>
        </is>
      </c>
      <c r="G1234" t="inlineStr">
        <is>
          <t>81</t>
        </is>
      </c>
      <c r="H1234" t="n">
        <v>0</v>
      </c>
      <c r="I1234" t="inlineStr">
        <is>
          <t>C1</t>
        </is>
      </c>
      <c r="J1234" t="n">
        <v>0</v>
      </c>
      <c r="K1234" t="inlineStr">
        <is>
          <t> </t>
        </is>
      </c>
      <c r="L1234" t="n">
        <v>0.9648099999999999</v>
      </c>
      <c r="M1234" t="n">
        <v>0.9648099999999999</v>
      </c>
      <c r="N1234" t="inlineStr">
        <is>
          <t>Yes</t>
        </is>
      </c>
      <c r="O1234" t="inlineStr">
        <is>
          <t>equal</t>
        </is>
      </c>
      <c r="P1234" t="inlineStr">
        <is>
          <t>deposited</t>
        </is>
      </c>
      <c r="Q1234" t="inlineStr"/>
      <c r="R1234" t="inlineStr"/>
      <c r="S1234">
        <f>HYPERLINK("https://helical-indexing-hi3d.streamlit.app/?emd_id=emd-3778&amp;rise=81&amp;twist=0.0&amp;csym=1&amp;rise2=81.0&amp;twist2=0.0&amp;csym2=1", "Link")</f>
        <v/>
      </c>
    </row>
    <row r="1235">
      <c r="A1235" t="inlineStr">
        <is>
          <t>EMD-7117</t>
        </is>
      </c>
      <c r="B1235" t="inlineStr">
        <is>
          <t>non-amyloid</t>
        </is>
      </c>
      <c r="C1235" t="n">
        <v>5.5</v>
      </c>
      <c r="D1235" t="n">
        <v>28.06</v>
      </c>
      <c r="E1235" t="n">
        <v>-166.69</v>
      </c>
      <c r="F1235" t="inlineStr">
        <is>
          <t>C1</t>
        </is>
      </c>
      <c r="G1235" t="inlineStr">
        <is>
          <t>28.06</t>
        </is>
      </c>
      <c r="H1235" t="n">
        <v>-166.69</v>
      </c>
      <c r="I1235" t="inlineStr">
        <is>
          <t>C1</t>
        </is>
      </c>
      <c r="J1235" t="n">
        <v>0</v>
      </c>
      <c r="K1235" t="inlineStr"/>
      <c r="L1235" t="n">
        <v>0.997900587</v>
      </c>
      <c r="M1235" t="n">
        <v>0.997900587</v>
      </c>
      <c r="N1235" t="inlineStr">
        <is>
          <t>Yes</t>
        </is>
      </c>
      <c r="O1235" t="inlineStr">
        <is>
          <t>equal</t>
        </is>
      </c>
      <c r="P1235" t="inlineStr">
        <is>
          <t>deposited</t>
        </is>
      </c>
      <c r="Q1235" t="inlineStr"/>
      <c r="R1235" t="inlineStr"/>
      <c r="S1235">
        <f>HYPERLINK("https://helical-indexing-hi3d.streamlit.app/?emd_id=emd-7117&amp;rise=28.06&amp;twist=-166.69&amp;csym=1&amp;rise2=28.06&amp;twist2=-166.69&amp;csym2=1", "Link")</f>
        <v/>
      </c>
    </row>
    <row r="1236">
      <c r="A1236" t="inlineStr">
        <is>
          <t>EMD-7115</t>
        </is>
      </c>
      <c r="B1236" t="inlineStr">
        <is>
          <t>non-amyloid</t>
        </is>
      </c>
      <c r="C1236" t="n">
        <v>5.5</v>
      </c>
      <c r="D1236" t="n">
        <v>28.11</v>
      </c>
      <c r="E1236" t="n">
        <v>-166.6</v>
      </c>
      <c r="F1236" t="inlineStr">
        <is>
          <t>C1</t>
        </is>
      </c>
      <c r="G1236" t="inlineStr">
        <is>
          <t>28.11</t>
        </is>
      </c>
      <c r="H1236" t="n">
        <v>-166.6</v>
      </c>
      <c r="I1236" t="inlineStr">
        <is>
          <t>C1</t>
        </is>
      </c>
      <c r="J1236" t="n">
        <v>0</v>
      </c>
      <c r="K1236" t="inlineStr"/>
      <c r="L1236" t="n">
        <v>0.986432944</v>
      </c>
      <c r="M1236" t="n">
        <v>0.986432944</v>
      </c>
      <c r="N1236" t="inlineStr">
        <is>
          <t>Yes</t>
        </is>
      </c>
      <c r="O1236" t="inlineStr">
        <is>
          <t>equal</t>
        </is>
      </c>
      <c r="P1236" t="inlineStr">
        <is>
          <t>deposited</t>
        </is>
      </c>
      <c r="Q1236" t="inlineStr"/>
      <c r="R1236" t="inlineStr"/>
      <c r="S1236">
        <f>HYPERLINK("https://helical-indexing-hi3d.streamlit.app/?emd_id=emd-7115&amp;rise=28.11&amp;twist=-166.6&amp;csym=1&amp;rise2=28.11&amp;twist2=-166.6&amp;csym2=1", "Link")</f>
        <v/>
      </c>
    </row>
    <row r="1237">
      <c r="A1237" t="inlineStr">
        <is>
          <t>EMD-8849</t>
        </is>
      </c>
      <c r="B1237" t="inlineStr">
        <is>
          <t>non-amyloid</t>
        </is>
      </c>
      <c r="C1237" t="n">
        <v>5.5</v>
      </c>
      <c r="D1237" t="n">
        <v>4.64</v>
      </c>
      <c r="E1237" t="n">
        <v>65.81</v>
      </c>
      <c r="F1237" t="inlineStr">
        <is>
          <t>C1</t>
        </is>
      </c>
      <c r="G1237" t="inlineStr">
        <is>
          <t>4.64</t>
        </is>
      </c>
      <c r="H1237" t="n">
        <v>65.81</v>
      </c>
      <c r="I1237" t="inlineStr">
        <is>
          <t>C1</t>
        </is>
      </c>
      <c r="J1237" t="n">
        <v>0</v>
      </c>
      <c r="K1237" t="inlineStr"/>
      <c r="L1237" t="n">
        <v>0.986160255</v>
      </c>
      <c r="M1237" t="n">
        <v>0.986160255</v>
      </c>
      <c r="N1237" t="inlineStr">
        <is>
          <t>Yes</t>
        </is>
      </c>
      <c r="O1237" t="inlineStr">
        <is>
          <t>equal</t>
        </is>
      </c>
      <c r="P1237" t="inlineStr">
        <is>
          <t>deposited</t>
        </is>
      </c>
      <c r="Q1237" t="inlineStr"/>
      <c r="R1237" t="inlineStr"/>
      <c r="S1237">
        <f>HYPERLINK("https://helical-indexing-hi3d.streamlit.app/?emd_id=emd-8849&amp;rise=4.64&amp;twist=65.81&amp;csym=1&amp;rise2=4.64&amp;twist2=65.81&amp;csym2=1", "Link")</f>
        <v/>
      </c>
    </row>
    <row r="1238">
      <c r="A1238" t="inlineStr">
        <is>
          <t>EMD-40204</t>
        </is>
      </c>
      <c r="B1238" t="inlineStr">
        <is>
          <t>non-amyloid</t>
        </is>
      </c>
      <c r="C1238" t="n">
        <v>5.51</v>
      </c>
      <c r="D1238" t="n">
        <v>14.07</v>
      </c>
      <c r="E1238" t="n">
        <v>37.25</v>
      </c>
      <c r="F1238" t="inlineStr">
        <is>
          <t>C1</t>
        </is>
      </c>
      <c r="G1238" t="inlineStr"/>
      <c r="H1238" t="inlineStr"/>
      <c r="I1238" t="inlineStr">
        <is>
          <t>C1</t>
        </is>
      </c>
      <c r="J1238" t="inlineStr"/>
      <c r="K1238" t="inlineStr">
        <is>
          <t> </t>
        </is>
      </c>
      <c r="L1238" t="n">
        <v>0.196214185</v>
      </c>
      <c r="M1238" t="inlineStr"/>
      <c r="N1238" t="inlineStr">
        <is>
          <t>Excluded</t>
        </is>
      </c>
      <c r="O1238" t="inlineStr">
        <is>
          <t>worse</t>
        </is>
      </c>
      <c r="P1238" t="inlineStr">
        <is>
          <t>partial map</t>
        </is>
      </c>
      <c r="Q1238" t="inlineStr"/>
      <c r="R1238" t="inlineStr"/>
      <c r="S1238">
        <f>HYPERLINK("https://helical-indexing-hi3d.streamlit.app/?emd_id=emd-40204&amp;rise=nan&amp;twist=nan&amp;csym=1&amp;rise2=14.07&amp;twist2=37.25&amp;csym2=1", "Link")</f>
        <v/>
      </c>
    </row>
    <row r="1239">
      <c r="A1239" t="inlineStr">
        <is>
          <t>EMD-7520</t>
        </is>
      </c>
      <c r="B1239" t="inlineStr">
        <is>
          <t>microtubule</t>
        </is>
      </c>
      <c r="C1239" t="n">
        <v>5.6</v>
      </c>
      <c r="D1239" t="n">
        <v>8.75</v>
      </c>
      <c r="E1239" t="n">
        <v>-25.76</v>
      </c>
      <c r="F1239" t="inlineStr">
        <is>
          <t>C1</t>
        </is>
      </c>
      <c r="G1239" t="inlineStr">
        <is>
          <t>8.75</t>
        </is>
      </c>
      <c r="H1239" t="n">
        <v>-25.76</v>
      </c>
      <c r="I1239" t="inlineStr">
        <is>
          <t>C1</t>
        </is>
      </c>
      <c r="J1239" t="n">
        <v>0</v>
      </c>
      <c r="K1239" t="inlineStr">
        <is>
          <t> </t>
        </is>
      </c>
      <c r="L1239" t="n">
        <v>0.8954455099999999</v>
      </c>
      <c r="M1239" t="n">
        <v>0.8954455099999999</v>
      </c>
      <c r="N1239" t="inlineStr">
        <is>
          <t>Yes</t>
        </is>
      </c>
      <c r="O1239" t="inlineStr">
        <is>
          <t>equal</t>
        </is>
      </c>
      <c r="P1239" t="inlineStr">
        <is>
          <t>deposited</t>
        </is>
      </c>
      <c r="Q1239" t="inlineStr"/>
      <c r="R1239" t="inlineStr"/>
      <c r="S1239">
        <f>HYPERLINK("https://helical-indexing-hi3d.streamlit.app/?emd_id=emd-7520&amp;rise=8.75&amp;twist=-25.76&amp;csym=1&amp;rise2=8.75&amp;twist2=-25.76&amp;csym2=1", "Link")</f>
        <v/>
      </c>
    </row>
    <row r="1240">
      <c r="A1240" t="inlineStr">
        <is>
          <t>EMD-3020</t>
        </is>
      </c>
      <c r="B1240" t="inlineStr">
        <is>
          <t>non-amyloid</t>
        </is>
      </c>
      <c r="C1240" t="n">
        <v>5.6</v>
      </c>
      <c r="D1240" t="n">
        <v>4</v>
      </c>
      <c r="E1240" t="n">
        <v>40.9</v>
      </c>
      <c r="F1240" t="inlineStr">
        <is>
          <t>C1</t>
        </is>
      </c>
      <c r="G1240" t="inlineStr">
        <is>
          <t>3.983386056</t>
        </is>
      </c>
      <c r="H1240" t="n">
        <v>-40.90992844</v>
      </c>
      <c r="I1240" t="inlineStr">
        <is>
          <t>C1</t>
        </is>
      </c>
      <c r="J1240" t="n">
        <v>37.25248643504703</v>
      </c>
      <c r="K1240" t="inlineStr">
        <is>
          <t> </t>
        </is>
      </c>
      <c r="L1240" t="n">
        <v>0.51618</v>
      </c>
      <c r="M1240" t="n">
        <v>0.995348378</v>
      </c>
      <c r="N1240" t="inlineStr">
        <is>
          <t>Yes</t>
        </is>
      </c>
      <c r="O1240" t="inlineStr">
        <is>
          <t>improve</t>
        </is>
      </c>
      <c r="P1240" t="inlineStr">
        <is>
          <t>twist sign</t>
        </is>
      </c>
      <c r="Q1240" t="inlineStr"/>
      <c r="R1240" t="inlineStr"/>
      <c r="S1240">
        <f>HYPERLINK("https://helical-indexing-hi3d.streamlit.app/?emd_id=emd-3020&amp;rise=3.983386056&amp;twist=-40.90992844&amp;csym=1&amp;rise2=4.0&amp;twist2=40.9&amp;csym2=1", "Link")</f>
        <v/>
      </c>
    </row>
    <row r="1241">
      <c r="A1241" t="inlineStr">
        <is>
          <t>EMD-4488</t>
        </is>
      </c>
      <c r="B1241" t="inlineStr">
        <is>
          <t>non-amyloid</t>
        </is>
      </c>
      <c r="C1241" t="n">
        <v>5.6</v>
      </c>
      <c r="D1241" t="n">
        <v>27.65</v>
      </c>
      <c r="E1241" t="n">
        <v>-166.33</v>
      </c>
      <c r="F1241" t="inlineStr">
        <is>
          <t>C1</t>
        </is>
      </c>
      <c r="G1241" t="inlineStr">
        <is>
          <t>27.65</t>
        </is>
      </c>
      <c r="H1241" t="n">
        <v>-166.33</v>
      </c>
      <c r="I1241" t="inlineStr">
        <is>
          <t>C1</t>
        </is>
      </c>
      <c r="J1241" t="n">
        <v>0</v>
      </c>
      <c r="K1241" t="inlineStr"/>
      <c r="L1241" t="n">
        <v>0.95569</v>
      </c>
      <c r="M1241" t="n">
        <v>0.95569</v>
      </c>
      <c r="N1241" t="inlineStr">
        <is>
          <t>Yes</t>
        </is>
      </c>
      <c r="O1241" t="inlineStr">
        <is>
          <t>equal</t>
        </is>
      </c>
      <c r="P1241" t="inlineStr">
        <is>
          <t>deposited</t>
        </is>
      </c>
      <c r="Q1241" t="inlineStr"/>
      <c r="R1241" t="inlineStr"/>
      <c r="S1241">
        <f>HYPERLINK("https://helical-indexing-hi3d.streamlit.app/?emd_id=emd-4488&amp;rise=27.65&amp;twist=-166.33&amp;csym=1&amp;rise2=27.65&amp;twist2=-166.33&amp;csym2=1", "Link")</f>
        <v/>
      </c>
    </row>
    <row r="1242">
      <c r="A1242" t="inlineStr">
        <is>
          <t>EMD-8513</t>
        </is>
      </c>
      <c r="B1242" t="inlineStr">
        <is>
          <t>non-amyloid</t>
        </is>
      </c>
      <c r="C1242" t="n">
        <v>5.7</v>
      </c>
      <c r="D1242" t="n">
        <v>82.09999999999999</v>
      </c>
      <c r="E1242" t="n">
        <v>48.2</v>
      </c>
      <c r="F1242" t="inlineStr">
        <is>
          <t>C1</t>
        </is>
      </c>
      <c r="G1242" t="inlineStr">
        <is>
          <t>82.1</t>
        </is>
      </c>
      <c r="H1242" t="n">
        <v>48.2</v>
      </c>
      <c r="I1242" t="inlineStr">
        <is>
          <t>C1</t>
        </is>
      </c>
      <c r="J1242" t="n">
        <v>0</v>
      </c>
      <c r="K1242" t="inlineStr"/>
      <c r="L1242" t="n">
        <v>0.99264</v>
      </c>
      <c r="M1242" t="n">
        <v>0.99264</v>
      </c>
      <c r="N1242" t="inlineStr">
        <is>
          <t>Yes</t>
        </is>
      </c>
      <c r="O1242" t="inlineStr">
        <is>
          <t>equal</t>
        </is>
      </c>
      <c r="P1242" t="inlineStr">
        <is>
          <t>deposited</t>
        </is>
      </c>
      <c r="Q1242" t="inlineStr"/>
      <c r="R1242" t="inlineStr"/>
      <c r="S1242">
        <f>HYPERLINK("https://helical-indexing-hi3d.streamlit.app/?emd_id=emd-8513&amp;rise=82.1&amp;twist=48.2&amp;csym=1&amp;rise2=82.1&amp;twist2=48.2&amp;csym2=1", "Link")</f>
        <v/>
      </c>
    </row>
    <row r="1243">
      <c r="A1243" t="inlineStr">
        <is>
          <t>EMD-8853</t>
        </is>
      </c>
      <c r="B1243" t="inlineStr">
        <is>
          <t>non-amyloid</t>
        </is>
      </c>
      <c r="C1243" t="n">
        <v>5.7</v>
      </c>
      <c r="D1243" t="n">
        <v>4.72</v>
      </c>
      <c r="E1243" t="n">
        <v>65.3</v>
      </c>
      <c r="F1243" t="inlineStr">
        <is>
          <t>C1</t>
        </is>
      </c>
      <c r="G1243" t="inlineStr">
        <is>
          <t>4.694372998</t>
        </is>
      </c>
      <c r="H1243" t="n">
        <v>65.28601105</v>
      </c>
      <c r="I1243" t="inlineStr">
        <is>
          <t>C1</t>
        </is>
      </c>
      <c r="J1243" t="n">
        <v>0.0263123408500427</v>
      </c>
      <c r="K1243" t="inlineStr"/>
      <c r="L1243" t="n">
        <v>0.9889</v>
      </c>
      <c r="M1243" t="n">
        <v>0.991421903</v>
      </c>
      <c r="N1243" t="inlineStr">
        <is>
          <t>Yes</t>
        </is>
      </c>
      <c r="O1243" t="inlineStr">
        <is>
          <t>improve</t>
        </is>
      </c>
      <c r="P1243" t="inlineStr">
        <is>
          <t>adjusted decimals</t>
        </is>
      </c>
      <c r="Q1243" t="inlineStr"/>
      <c r="R1243" t="inlineStr"/>
      <c r="S1243">
        <f>HYPERLINK("https://helical-indexing-hi3d.streamlit.app/?emd_id=emd-8853&amp;rise=4.694372998&amp;twist=65.28601105&amp;csym=1&amp;rise2=4.72&amp;twist2=65.3&amp;csym2=1", "Link")</f>
        <v/>
      </c>
    </row>
    <row r="1244">
      <c r="A1244" t="inlineStr">
        <is>
          <t>EMD-15004</t>
        </is>
      </c>
      <c r="B1244" t="inlineStr">
        <is>
          <t>non-amyloid</t>
        </is>
      </c>
      <c r="C1244" t="n">
        <v>5.74</v>
      </c>
      <c r="D1244" t="n">
        <v>27.579</v>
      </c>
      <c r="E1244" t="n">
        <v>82.59999999999999</v>
      </c>
      <c r="F1244" t="inlineStr">
        <is>
          <t>D1</t>
        </is>
      </c>
      <c r="G1244" t="inlineStr">
        <is>
          <t>27.7704473</t>
        </is>
      </c>
      <c r="H1244" t="n">
        <v>82.65265968</v>
      </c>
      <c r="I1244" t="inlineStr">
        <is>
          <t>CD1</t>
        </is>
      </c>
      <c r="J1244" t="n">
        <v>0.1928782499339597</v>
      </c>
      <c r="K1244" t="inlineStr"/>
      <c r="L1244" t="n">
        <v>0.881452609</v>
      </c>
      <c r="M1244" t="n">
        <v>0.896043151</v>
      </c>
      <c r="N1244" t="inlineStr">
        <is>
          <t>Yes</t>
        </is>
      </c>
      <c r="O1244" t="inlineStr">
        <is>
          <t>improve</t>
        </is>
      </c>
      <c r="P1244" t="inlineStr">
        <is>
          <t>adjusted decimals</t>
        </is>
      </c>
      <c r="Q1244" t="inlineStr"/>
      <c r="R1244" t="inlineStr"/>
      <c r="S1244">
        <f>HYPERLINK("https://helical-indexing-hi3d.streamlit.app/?emd_id=emd-15004&amp;rise=27.7704473&amp;twist=82.65265968&amp;csym=D1&amp;rise2=27.579&amp;twist2=82.6&amp;csym2=1", "Link")</f>
        <v/>
      </c>
    </row>
    <row r="1245">
      <c r="A1245" t="inlineStr">
        <is>
          <t>EMD-7343</t>
        </is>
      </c>
      <c r="B1245" t="inlineStr">
        <is>
          <t>non-amyloid</t>
        </is>
      </c>
      <c r="C1245" t="n">
        <v>5.8</v>
      </c>
      <c r="D1245" t="n">
        <v>2.65</v>
      </c>
      <c r="E1245" t="n">
        <v>-8.529999999999999</v>
      </c>
      <c r="F1245" t="inlineStr">
        <is>
          <t>C1</t>
        </is>
      </c>
      <c r="G1245" t="inlineStr">
        <is>
          <t>2.65</t>
        </is>
      </c>
      <c r="H1245" t="n">
        <v>-8.529999999999999</v>
      </c>
      <c r="I1245" t="inlineStr">
        <is>
          <t>C1</t>
        </is>
      </c>
      <c r="J1245" t="n">
        <v>0</v>
      </c>
      <c r="K1245" t="inlineStr">
        <is>
          <t> </t>
        </is>
      </c>
      <c r="L1245" t="n">
        <v>0.7859699999999999</v>
      </c>
      <c r="M1245" t="n">
        <v>0.7859699999999999</v>
      </c>
      <c r="N1245" t="inlineStr">
        <is>
          <t>Yes</t>
        </is>
      </c>
      <c r="O1245" t="inlineStr">
        <is>
          <t>equal</t>
        </is>
      </c>
      <c r="P1245" t="inlineStr">
        <is>
          <t>deposited</t>
        </is>
      </c>
      <c r="Q1245" t="inlineStr"/>
      <c r="R1245" t="inlineStr"/>
      <c r="S1245">
        <f>HYPERLINK("https://helical-indexing-hi3d.streamlit.app/?emd_id=emd-7343&amp;rise=2.65&amp;twist=-8.53&amp;csym=1&amp;rise2=2.65&amp;twist2=-8.53&amp;csym2=1", "Link")</f>
        <v/>
      </c>
    </row>
    <row r="1246">
      <c r="A1246" t="inlineStr">
        <is>
          <t>EMD-3690</t>
        </is>
      </c>
      <c r="B1246" t="inlineStr">
        <is>
          <t>non-amyloid</t>
        </is>
      </c>
      <c r="C1246" t="n">
        <v>5.8</v>
      </c>
      <c r="D1246" t="n">
        <v>40.6</v>
      </c>
      <c r="E1246" t="n">
        <v>39.1</v>
      </c>
      <c r="F1246" t="inlineStr">
        <is>
          <t>C3</t>
        </is>
      </c>
      <c r="G1246" t="inlineStr">
        <is>
          <t>40.79867516</t>
        </is>
      </c>
      <c r="H1246" t="n">
        <v>38.94305515</v>
      </c>
      <c r="I1246" t="inlineStr">
        <is>
          <t>C3</t>
        </is>
      </c>
      <c r="J1246" t="n">
        <v>0.1998276124106769</v>
      </c>
      <c r="K1246" t="inlineStr"/>
      <c r="L1246" t="n">
        <v>0.92792</v>
      </c>
      <c r="M1246" t="n">
        <v>0.92867604</v>
      </c>
      <c r="N1246" t="inlineStr">
        <is>
          <t>Yes</t>
        </is>
      </c>
      <c r="O1246" t="inlineStr">
        <is>
          <t>improve</t>
        </is>
      </c>
      <c r="P1246" t="inlineStr">
        <is>
          <t>adjusted decimals</t>
        </is>
      </c>
      <c r="Q1246" t="inlineStr"/>
      <c r="R1246" t="inlineStr"/>
      <c r="S1246">
        <f>HYPERLINK("https://helical-indexing-hi3d.streamlit.app/?emd_id=emd-3690&amp;rise=40.79867516&amp;twist=38.94305515&amp;csym=3&amp;rise2=40.6&amp;twist2=39.1&amp;csym2=3", "Link")</f>
        <v/>
      </c>
    </row>
    <row r="1247">
      <c r="A1247" t="inlineStr">
        <is>
          <t>EMD-8061</t>
        </is>
      </c>
      <c r="B1247" t="inlineStr">
        <is>
          <t>microtubule</t>
        </is>
      </c>
      <c r="C1247" t="n">
        <v>5.8</v>
      </c>
      <c r="D1247" t="n">
        <v>8.77999</v>
      </c>
      <c r="E1247" t="n">
        <v>-25.718311</v>
      </c>
      <c r="F1247" t="inlineStr">
        <is>
          <t>C1</t>
        </is>
      </c>
      <c r="G1247" t="inlineStr"/>
      <c r="H1247" t="inlineStr"/>
      <c r="I1247" t="inlineStr">
        <is>
          <t>C1</t>
        </is>
      </c>
      <c r="J1247" t="inlineStr"/>
      <c r="K1247" t="inlineStr"/>
      <c r="L1247" t="inlineStr"/>
      <c r="M1247" t="inlineStr"/>
      <c r="N1247" t="inlineStr">
        <is>
          <t>No</t>
        </is>
      </c>
      <c r="O1247" t="inlineStr"/>
      <c r="P1247" t="inlineStr">
        <is>
          <t>single unit</t>
        </is>
      </c>
      <c r="Q1247" t="inlineStr"/>
      <c r="R1247" t="inlineStr"/>
      <c r="S1247">
        <f>HYPERLINK("https://helical-indexing-hi3d.streamlit.app/?emd_id=emd-8061&amp;rise=nan&amp;twist=nan&amp;csym=1&amp;rise2=8.77999&amp;twist2=-25.718311&amp;csym2=1", "Link")</f>
        <v/>
      </c>
    </row>
    <row r="1248">
      <c r="A1248" t="inlineStr">
        <is>
          <t>EMD-2525</t>
        </is>
      </c>
      <c r="B1248" t="inlineStr">
        <is>
          <t>non-amyloid</t>
        </is>
      </c>
      <c r="C1248" t="n">
        <v>5.8</v>
      </c>
      <c r="D1248" t="n">
        <v>22.2</v>
      </c>
      <c r="E1248" t="n">
        <v>29.44</v>
      </c>
      <c r="F1248" t="inlineStr"/>
      <c r="G1248" t="inlineStr"/>
      <c r="H1248" t="inlineStr"/>
      <c r="I1248" t="inlineStr">
        <is>
          <t>C1</t>
        </is>
      </c>
      <c r="J1248" t="inlineStr"/>
      <c r="K1248" t="inlineStr"/>
      <c r="L1248" t="inlineStr"/>
      <c r="M1248" t="inlineStr"/>
      <c r="N1248" t="inlineStr">
        <is>
          <t>No</t>
        </is>
      </c>
      <c r="O1248" t="inlineStr"/>
      <c r="P1248" t="inlineStr">
        <is>
          <t>single unit</t>
        </is>
      </c>
      <c r="Q1248" t="inlineStr"/>
      <c r="R1248" t="inlineStr"/>
      <c r="S1248" t="inlineStr"/>
    </row>
    <row r="1249">
      <c r="A1249" t="inlineStr">
        <is>
          <t>EMD-2524</t>
        </is>
      </c>
      <c r="B1249" t="inlineStr">
        <is>
          <t>non-amyloid</t>
        </is>
      </c>
      <c r="C1249" t="n">
        <v>5.8</v>
      </c>
      <c r="D1249" t="n">
        <v>22.2</v>
      </c>
      <c r="E1249" t="n">
        <v>29.44</v>
      </c>
      <c r="F1249" t="inlineStr"/>
      <c r="G1249" t="inlineStr">
        <is>
          <t>21.81038135</t>
        </is>
      </c>
      <c r="H1249" t="n">
        <v>29.43620965</v>
      </c>
      <c r="I1249" t="inlineStr">
        <is>
          <t>C1</t>
        </is>
      </c>
      <c r="J1249" t="n">
        <v>0.3896279107823844</v>
      </c>
      <c r="K1249" t="inlineStr"/>
      <c r="L1249" t="n">
        <v>0.787899932</v>
      </c>
      <c r="M1249" t="n">
        <v>0.836722692</v>
      </c>
      <c r="N1249" t="inlineStr">
        <is>
          <t>Yes</t>
        </is>
      </c>
      <c r="O1249" t="inlineStr">
        <is>
          <t>improve</t>
        </is>
      </c>
      <c r="P1249" t="inlineStr">
        <is>
          <t>adjusted decimals</t>
        </is>
      </c>
      <c r="Q1249" t="inlineStr"/>
      <c r="R1249" t="inlineStr"/>
      <c r="S1249" t="inlineStr"/>
    </row>
    <row r="1250">
      <c r="A1250" t="inlineStr">
        <is>
          <t>EMD-11239</t>
        </is>
      </c>
      <c r="B1250" t="inlineStr">
        <is>
          <t>non-amyloid</t>
        </is>
      </c>
      <c r="C1250" t="n">
        <v>5.8</v>
      </c>
      <c r="D1250" t="inlineStr"/>
      <c r="E1250" t="inlineStr"/>
      <c r="F1250" t="inlineStr"/>
      <c r="G1250" t="inlineStr"/>
      <c r="H1250" t="inlineStr"/>
      <c r="I1250" t="inlineStr">
        <is>
          <t>C1</t>
        </is>
      </c>
      <c r="J1250" t="inlineStr"/>
      <c r="K1250" t="inlineStr"/>
      <c r="L1250" t="inlineStr"/>
      <c r="M1250" t="inlineStr"/>
      <c r="N1250" t="inlineStr">
        <is>
          <t>No</t>
        </is>
      </c>
      <c r="O1250" t="inlineStr"/>
      <c r="P1250" t="inlineStr">
        <is>
          <t>single unit</t>
        </is>
      </c>
      <c r="Q1250" t="inlineStr"/>
      <c r="R1250" t="inlineStr"/>
      <c r="S1250" t="inlineStr"/>
    </row>
    <row r="1251">
      <c r="A1251" t="inlineStr">
        <is>
          <t>EMD-40193</t>
        </is>
      </c>
      <c r="B1251" t="inlineStr">
        <is>
          <t>non-amyloid</t>
        </is>
      </c>
      <c r="C1251" t="n">
        <v>5.8</v>
      </c>
      <c r="D1251" t="n">
        <v>14.07</v>
      </c>
      <c r="E1251" t="n">
        <v>37.25</v>
      </c>
      <c r="F1251" t="inlineStr">
        <is>
          <t>C1</t>
        </is>
      </c>
      <c r="G1251" t="inlineStr">
        <is>
          <t>14.07</t>
        </is>
      </c>
      <c r="H1251" t="n">
        <v>37.25</v>
      </c>
      <c r="I1251" t="inlineStr">
        <is>
          <t>C1</t>
        </is>
      </c>
      <c r="J1251" t="n">
        <v>0</v>
      </c>
      <c r="K1251" t="inlineStr">
        <is>
          <t> </t>
        </is>
      </c>
      <c r="L1251" t="n">
        <v>0.820232527</v>
      </c>
      <c r="M1251" t="n">
        <v>0.820232527</v>
      </c>
      <c r="N1251" t="inlineStr">
        <is>
          <t>Yes</t>
        </is>
      </c>
      <c r="O1251" t="inlineStr">
        <is>
          <t>equal</t>
        </is>
      </c>
      <c r="P1251" t="inlineStr">
        <is>
          <t>deposited</t>
        </is>
      </c>
      <c r="Q1251" t="inlineStr"/>
      <c r="R1251" t="inlineStr"/>
      <c r="S1251">
        <f>HYPERLINK("https://helical-indexing-hi3d.streamlit.app/?emd_id=emd-40193&amp;rise=14.07&amp;twist=37.25&amp;csym=1&amp;rise2=14.07&amp;twist2=37.25&amp;csym2=1", "Link")</f>
        <v/>
      </c>
    </row>
    <row r="1252">
      <c r="A1252" t="inlineStr">
        <is>
          <t>EMD-9016</t>
        </is>
      </c>
      <c r="B1252" t="inlineStr">
        <is>
          <t>non-amyloid</t>
        </is>
      </c>
      <c r="C1252" t="n">
        <v>5.9</v>
      </c>
      <c r="D1252" t="n">
        <v>21.632</v>
      </c>
      <c r="E1252" t="n">
        <v>-51.23024</v>
      </c>
      <c r="F1252" t="inlineStr">
        <is>
          <t>C4</t>
        </is>
      </c>
      <c r="G1252" t="inlineStr">
        <is>
          <t>21.632</t>
        </is>
      </c>
      <c r="H1252" t="n">
        <v>-51.23024</v>
      </c>
      <c r="I1252" t="inlineStr">
        <is>
          <t>C4</t>
        </is>
      </c>
      <c r="J1252" t="n">
        <v>0</v>
      </c>
      <c r="K1252" t="inlineStr">
        <is>
          <t> </t>
        </is>
      </c>
      <c r="L1252" t="n">
        <v>0.99219</v>
      </c>
      <c r="M1252" t="n">
        <v>0.99219</v>
      </c>
      <c r="N1252" t="inlineStr">
        <is>
          <t>Yes</t>
        </is>
      </c>
      <c r="O1252" t="inlineStr">
        <is>
          <t>equal</t>
        </is>
      </c>
      <c r="P1252" t="inlineStr">
        <is>
          <t>deposited</t>
        </is>
      </c>
      <c r="Q1252" t="inlineStr"/>
      <c r="R1252" t="inlineStr"/>
      <c r="S1252">
        <f>HYPERLINK("https://helical-indexing-hi3d.streamlit.app/?emd_id=emd-9016&amp;rise=21.632&amp;twist=-51.23024&amp;csym=4&amp;rise2=21.632&amp;twist2=-51.23024&amp;csym2=4", "Link")</f>
        <v/>
      </c>
    </row>
    <row r="1253">
      <c r="A1253" t="inlineStr">
        <is>
          <t>EMD-8313</t>
        </is>
      </c>
      <c r="B1253" t="inlineStr">
        <is>
          <t>non-amyloid</t>
        </is>
      </c>
      <c r="C1253" t="n">
        <v>5.9</v>
      </c>
      <c r="D1253" t="n">
        <v>4.8</v>
      </c>
      <c r="E1253" t="n">
        <v>37.35</v>
      </c>
      <c r="F1253" t="inlineStr">
        <is>
          <t>C1</t>
        </is>
      </c>
      <c r="G1253" t="inlineStr"/>
      <c r="H1253" t="inlineStr"/>
      <c r="I1253" t="inlineStr">
        <is>
          <t>C1</t>
        </is>
      </c>
      <c r="J1253" t="inlineStr"/>
      <c r="K1253" t="inlineStr"/>
      <c r="L1253" t="inlineStr"/>
      <c r="M1253" t="inlineStr"/>
      <c r="N1253" t="inlineStr">
        <is>
          <t>No</t>
        </is>
      </c>
      <c r="O1253" t="inlineStr"/>
      <c r="P1253" t="inlineStr">
        <is>
          <t>single unit</t>
        </is>
      </c>
      <c r="Q1253" t="inlineStr"/>
      <c r="R1253" t="inlineStr"/>
      <c r="S1253">
        <f>HYPERLINK("https://helical-indexing-hi3d.streamlit.app/?emd_id=emd-8313&amp;rise=nan&amp;twist=nan&amp;csym=1&amp;rise2=4.8&amp;twist2=37.35&amp;csym2=1", "Link")</f>
        <v/>
      </c>
    </row>
    <row r="1254">
      <c r="A1254" t="inlineStr">
        <is>
          <t>EMD-8287</t>
        </is>
      </c>
      <c r="B1254" t="inlineStr">
        <is>
          <t>non-amyloid</t>
        </is>
      </c>
      <c r="C1254" t="n">
        <v>6</v>
      </c>
      <c r="D1254" t="n">
        <v>10.3</v>
      </c>
      <c r="E1254" t="n">
        <v>100.8</v>
      </c>
      <c r="F1254" t="inlineStr">
        <is>
          <t>C1</t>
        </is>
      </c>
      <c r="G1254" t="inlineStr">
        <is>
          <t>10.18486286</t>
        </is>
      </c>
      <c r="H1254" t="n">
        <v>100.7486035</v>
      </c>
      <c r="I1254" t="inlineStr">
        <is>
          <t>C1</t>
        </is>
      </c>
      <c r="J1254" t="n">
        <v>0.1160094184795539</v>
      </c>
      <c r="K1254" t="inlineStr"/>
      <c r="L1254" t="n">
        <v>0.99831</v>
      </c>
      <c r="M1254" t="n">
        <v>0.999067109</v>
      </c>
      <c r="N1254" t="inlineStr">
        <is>
          <t>Yes</t>
        </is>
      </c>
      <c r="O1254" t="inlineStr">
        <is>
          <t>improve</t>
        </is>
      </c>
      <c r="P1254" t="inlineStr">
        <is>
          <t>adjusted decimals</t>
        </is>
      </c>
      <c r="Q1254" t="inlineStr"/>
      <c r="R1254" t="inlineStr"/>
      <c r="S1254">
        <f>HYPERLINK("https://helical-indexing-hi3d.streamlit.app/?emd_id=emd-8287&amp;rise=10.18486286&amp;twist=100.7486035&amp;csym=1&amp;rise2=10.3&amp;twist2=100.8&amp;csym2=1", "Link")</f>
        <v/>
      </c>
    </row>
    <row r="1255">
      <c r="A1255" t="inlineStr">
        <is>
          <t>EMD-6782</t>
        </is>
      </c>
      <c r="B1255" t="inlineStr">
        <is>
          <t>microtubule</t>
        </is>
      </c>
      <c r="C1255" t="n">
        <v>6</v>
      </c>
      <c r="D1255" t="n">
        <v>8.706619999999999</v>
      </c>
      <c r="E1255" t="n">
        <v>-25.7619</v>
      </c>
      <c r="F1255" t="inlineStr">
        <is>
          <t>C1</t>
        </is>
      </c>
      <c r="G1255" t="inlineStr"/>
      <c r="H1255" t="inlineStr"/>
      <c r="I1255" t="inlineStr">
        <is>
          <t>C1</t>
        </is>
      </c>
      <c r="J1255" t="inlineStr"/>
      <c r="K1255" t="inlineStr">
        <is>
          <t> </t>
        </is>
      </c>
      <c r="L1255" t="n">
        <v>0.3901</v>
      </c>
      <c r="M1255" t="inlineStr"/>
      <c r="N1255" t="inlineStr">
        <is>
          <t>Excluded</t>
        </is>
      </c>
      <c r="O1255" t="inlineStr">
        <is>
          <t>worse</t>
        </is>
      </c>
      <c r="P1255" t="inlineStr">
        <is>
          <t>partial map</t>
        </is>
      </c>
      <c r="Q1255" t="inlineStr"/>
      <c r="R1255" t="inlineStr"/>
      <c r="S1255">
        <f>HYPERLINK("https://helical-indexing-hi3d.streamlit.app/?emd_id=emd-6782&amp;rise=nan&amp;twist=nan&amp;csym=1&amp;rise2=8.70662&amp;twist2=-25.7619&amp;csym2=1", "Link")</f>
        <v/>
      </c>
    </row>
    <row r="1256">
      <c r="A1256" t="inlineStr">
        <is>
          <t>EMD-9136</t>
        </is>
      </c>
      <c r="B1256" t="inlineStr">
        <is>
          <t>non-amyloid</t>
        </is>
      </c>
      <c r="C1256" t="n">
        <v>6</v>
      </c>
      <c r="D1256" t="n">
        <v>3.02</v>
      </c>
      <c r="E1256" t="n">
        <v>34.8</v>
      </c>
      <c r="F1256" t="inlineStr">
        <is>
          <t>C1</t>
        </is>
      </c>
      <c r="G1256" t="inlineStr">
        <is>
          <t>3.02</t>
        </is>
      </c>
      <c r="H1256" t="n">
        <v>34.8</v>
      </c>
      <c r="I1256" t="inlineStr">
        <is>
          <t>C1</t>
        </is>
      </c>
      <c r="J1256" t="n">
        <v>0</v>
      </c>
      <c r="K1256" t="inlineStr"/>
      <c r="L1256" t="n">
        <v>0.7472</v>
      </c>
      <c r="M1256" t="n">
        <v>0.7472</v>
      </c>
      <c r="N1256" t="inlineStr">
        <is>
          <t>No</t>
        </is>
      </c>
      <c r="O1256" t="inlineStr">
        <is>
          <t>equal</t>
        </is>
      </c>
      <c r="P1256" t="inlineStr">
        <is>
          <t>deposited</t>
        </is>
      </c>
      <c r="Q1256" t="inlineStr"/>
      <c r="R1256" t="inlineStr"/>
      <c r="S1256">
        <f>HYPERLINK("https://helical-indexing-hi3d.streamlit.app/?emd_id=emd-9136&amp;rise=3.02&amp;twist=34.8&amp;csym=1&amp;rise2=3.02&amp;twist2=34.8&amp;csym2=1", "Link")</f>
        <v/>
      </c>
    </row>
    <row r="1257">
      <c r="A1257" t="inlineStr">
        <is>
          <t>EMD-9293</t>
        </is>
      </c>
      <c r="B1257" t="inlineStr">
        <is>
          <t>non-amyloid</t>
        </is>
      </c>
      <c r="C1257" t="n">
        <v>6</v>
      </c>
      <c r="D1257" t="n">
        <v>74.23999999999999</v>
      </c>
      <c r="E1257" t="n">
        <v>81.28</v>
      </c>
      <c r="F1257" t="inlineStr">
        <is>
          <t>C1</t>
        </is>
      </c>
      <c r="G1257" t="inlineStr">
        <is>
          <t>74.24</t>
        </is>
      </c>
      <c r="H1257" t="n">
        <v>81.28</v>
      </c>
      <c r="I1257" t="inlineStr">
        <is>
          <t>C1</t>
        </is>
      </c>
      <c r="J1257" t="n">
        <v>0</v>
      </c>
      <c r="K1257" t="inlineStr"/>
      <c r="L1257" t="n">
        <v>0.99346</v>
      </c>
      <c r="M1257" t="n">
        <v>0.99346</v>
      </c>
      <c r="N1257" t="inlineStr">
        <is>
          <t>Yes</t>
        </is>
      </c>
      <c r="O1257" t="inlineStr">
        <is>
          <t>equal</t>
        </is>
      </c>
      <c r="P1257" t="inlineStr">
        <is>
          <t>deposited</t>
        </is>
      </c>
      <c r="Q1257" t="inlineStr"/>
      <c r="R1257" t="inlineStr"/>
      <c r="S1257">
        <f>HYPERLINK("https://helical-indexing-hi3d.streamlit.app/?emd_id=emd-9293&amp;rise=74.24&amp;twist=81.28&amp;csym=1&amp;rise2=74.24&amp;twist2=81.28&amp;csym2=1", "Link")</f>
        <v/>
      </c>
    </row>
    <row r="1258">
      <c r="A1258" t="inlineStr">
        <is>
          <t>EMD-3692</t>
        </is>
      </c>
      <c r="B1258" t="inlineStr">
        <is>
          <t>non-amyloid</t>
        </is>
      </c>
      <c r="C1258" t="n">
        <v>6</v>
      </c>
      <c r="D1258" t="n">
        <v>40.6</v>
      </c>
      <c r="E1258" t="n">
        <v>39.1</v>
      </c>
      <c r="F1258" t="inlineStr">
        <is>
          <t>C3</t>
        </is>
      </c>
      <c r="G1258" t="inlineStr">
        <is>
          <t>40.6</t>
        </is>
      </c>
      <c r="H1258" t="n">
        <v>39.1</v>
      </c>
      <c r="I1258" t="inlineStr">
        <is>
          <t>C3</t>
        </is>
      </c>
      <c r="J1258" t="n">
        <v>0</v>
      </c>
      <c r="K1258" t="inlineStr"/>
      <c r="L1258" t="n">
        <v>0.94912</v>
      </c>
      <c r="M1258" t="n">
        <v>0.94912</v>
      </c>
      <c r="N1258" t="inlineStr">
        <is>
          <t>Yes</t>
        </is>
      </c>
      <c r="O1258" t="inlineStr">
        <is>
          <t>equal</t>
        </is>
      </c>
      <c r="P1258" t="inlineStr">
        <is>
          <t>deposited</t>
        </is>
      </c>
      <c r="Q1258" t="inlineStr"/>
      <c r="R1258" t="inlineStr"/>
      <c r="S1258">
        <f>HYPERLINK("https://helical-indexing-hi3d.streamlit.app/?emd_id=emd-3692&amp;rise=40.6&amp;twist=39.1&amp;csym=3&amp;rise2=40.6&amp;twist2=39.1&amp;csym2=3", "Link")</f>
        <v/>
      </c>
    </row>
    <row r="1259">
      <c r="A1259" t="inlineStr">
        <is>
          <t>EMD-8759</t>
        </is>
      </c>
      <c r="B1259" t="inlineStr">
        <is>
          <t>microtubule</t>
        </is>
      </c>
      <c r="C1259" t="n">
        <v>6</v>
      </c>
      <c r="D1259" t="n">
        <v>10.3</v>
      </c>
      <c r="E1259" t="n">
        <v>-29.9</v>
      </c>
      <c r="F1259" t="inlineStr">
        <is>
          <t>C1</t>
        </is>
      </c>
      <c r="G1259" t="inlineStr">
        <is>
          <t>10.3</t>
        </is>
      </c>
      <c r="H1259" t="n">
        <v>-29.9</v>
      </c>
      <c r="I1259" t="inlineStr">
        <is>
          <t>C1</t>
        </is>
      </c>
      <c r="J1259" t="n">
        <v>0</v>
      </c>
      <c r="K1259" t="inlineStr"/>
      <c r="L1259" t="n">
        <v>0.912890617</v>
      </c>
      <c r="M1259" t="n">
        <v>0.912890617</v>
      </c>
      <c r="N1259" t="inlineStr">
        <is>
          <t>Yes</t>
        </is>
      </c>
      <c r="O1259" t="inlineStr">
        <is>
          <t>equal</t>
        </is>
      </c>
      <c r="P1259" t="inlineStr">
        <is>
          <t>deposited</t>
        </is>
      </c>
      <c r="Q1259" t="inlineStr"/>
      <c r="R1259" t="inlineStr"/>
      <c r="S1259">
        <f>HYPERLINK("https://helical-indexing-hi3d.streamlit.app/?emd_id=emd-8759&amp;rise=10.3&amp;twist=-29.9&amp;csym=1&amp;rise2=10.3&amp;twist2=-29.9&amp;csym2=1", "Link")</f>
        <v/>
      </c>
    </row>
    <row r="1260">
      <c r="A1260" t="inlineStr">
        <is>
          <t>EMD-7100</t>
        </is>
      </c>
      <c r="B1260" t="inlineStr">
        <is>
          <t>non-amyloid</t>
        </is>
      </c>
      <c r="C1260" t="n">
        <v>6</v>
      </c>
      <c r="D1260" t="n">
        <v>28.18685</v>
      </c>
      <c r="E1260" t="n">
        <v>-166.77931</v>
      </c>
      <c r="F1260" t="inlineStr">
        <is>
          <t>C1</t>
        </is>
      </c>
      <c r="G1260" t="inlineStr">
        <is>
          <t>28.18685</t>
        </is>
      </c>
      <c r="H1260" t="n">
        <v>-166.77931</v>
      </c>
      <c r="I1260" t="inlineStr">
        <is>
          <t>C1</t>
        </is>
      </c>
      <c r="J1260" t="n">
        <v>0</v>
      </c>
      <c r="K1260" t="inlineStr"/>
      <c r="L1260" t="n">
        <v>0.95916</v>
      </c>
      <c r="M1260" t="n">
        <v>0.95916</v>
      </c>
      <c r="N1260" t="inlineStr">
        <is>
          <t>Yes</t>
        </is>
      </c>
      <c r="O1260" t="inlineStr">
        <is>
          <t>equal</t>
        </is>
      </c>
      <c r="P1260" t="inlineStr">
        <is>
          <t>deposited</t>
        </is>
      </c>
      <c r="Q1260" t="inlineStr"/>
      <c r="R1260" t="inlineStr"/>
      <c r="S1260">
        <f>HYPERLINK("https://helical-indexing-hi3d.streamlit.app/?emd_id=emd-7100&amp;rise=28.18685&amp;twist=-166.77931&amp;csym=1&amp;rise2=28.18685&amp;twist2=-166.77931&amp;csym2=1", "Link")</f>
        <v/>
      </c>
    </row>
    <row r="1261">
      <c r="A1261" t="inlineStr">
        <is>
          <t>EMD-21455</t>
        </is>
      </c>
      <c r="B1261" t="inlineStr">
        <is>
          <t>non-amyloid</t>
        </is>
      </c>
      <c r="C1261" t="n">
        <v>6</v>
      </c>
      <c r="D1261" t="n">
        <v>18.27</v>
      </c>
      <c r="E1261" t="n">
        <v>-48.93</v>
      </c>
      <c r="F1261" t="inlineStr">
        <is>
          <t>C1</t>
        </is>
      </c>
      <c r="G1261" t="inlineStr">
        <is>
          <t>18.27</t>
        </is>
      </c>
      <c r="H1261" t="n">
        <v>-48.93</v>
      </c>
      <c r="I1261" t="inlineStr">
        <is>
          <t>C1</t>
        </is>
      </c>
      <c r="J1261" t="n">
        <v>0</v>
      </c>
      <c r="K1261" t="inlineStr"/>
      <c r="L1261" t="n">
        <v>0.90357743</v>
      </c>
      <c r="M1261" t="n">
        <v>0.90357743</v>
      </c>
      <c r="N1261" t="inlineStr">
        <is>
          <t>Yes</t>
        </is>
      </c>
      <c r="O1261" t="inlineStr">
        <is>
          <t>equal</t>
        </is>
      </c>
      <c r="P1261" t="inlineStr">
        <is>
          <t>deposited</t>
        </is>
      </c>
      <c r="Q1261" t="inlineStr"/>
      <c r="R1261" t="inlineStr"/>
      <c r="S1261">
        <f>HYPERLINK("https://helical-indexing-hi3d.streamlit.app/?emd_id=emd-21455&amp;rise=18.27&amp;twist=-48.93&amp;csym=1&amp;rise2=18.27&amp;twist2=-48.93&amp;csym2=1", "Link")</f>
        <v/>
      </c>
    </row>
    <row r="1262">
      <c r="A1262" t="inlineStr">
        <is>
          <t>EMD-21423</t>
        </is>
      </c>
      <c r="B1262" t="inlineStr">
        <is>
          <t>non-amyloid</t>
        </is>
      </c>
      <c r="C1262" t="n">
        <v>6.08</v>
      </c>
      <c r="D1262" t="n">
        <v>7.61</v>
      </c>
      <c r="E1262" t="n">
        <v>150.32</v>
      </c>
      <c r="F1262" t="inlineStr">
        <is>
          <t>C1</t>
        </is>
      </c>
      <c r="G1262" t="inlineStr">
        <is>
          <t>35.23</t>
        </is>
      </c>
      <c r="H1262" t="n">
        <v>-137.7</v>
      </c>
      <c r="I1262" t="inlineStr">
        <is>
          <t>C1</t>
        </is>
      </c>
      <c r="J1262" t="n">
        <v>28.19977846227809</v>
      </c>
      <c r="K1262" t="inlineStr">
        <is>
          <t> </t>
        </is>
      </c>
      <c r="L1262" t="n">
        <v>0.02773</v>
      </c>
      <c r="M1262" t="n">
        <v>0.274619558</v>
      </c>
      <c r="N1262" t="inlineStr">
        <is>
          <t>No</t>
        </is>
      </c>
      <c r="O1262" t="inlineStr">
        <is>
          <t>improve</t>
        </is>
      </c>
      <c r="P1262" t="inlineStr"/>
      <c r="Q1262" t="inlineStr"/>
      <c r="R1262" t="inlineStr"/>
      <c r="S1262">
        <f>HYPERLINK("https://helical-indexing-hi3d.streamlit.app/?emd_id=emd-21423&amp;rise=35.23&amp;twist=-137.7&amp;csym=1&amp;rise2=7.61&amp;twist2=150.32&amp;csym2=1", "Link")</f>
        <v/>
      </c>
    </row>
    <row r="1263">
      <c r="A1263" t="inlineStr">
        <is>
          <t>EMD-0840</t>
        </is>
      </c>
      <c r="B1263" t="inlineStr">
        <is>
          <t>non-amyloid</t>
        </is>
      </c>
      <c r="C1263" t="n">
        <v>6.09</v>
      </c>
      <c r="D1263" t="n">
        <v>103</v>
      </c>
      <c r="E1263" t="n">
        <v>55.7</v>
      </c>
      <c r="F1263" t="inlineStr">
        <is>
          <t>D2</t>
        </is>
      </c>
      <c r="G1263" t="inlineStr">
        <is>
          <t>102.8277042</t>
        </is>
      </c>
      <c r="H1263" t="n">
        <v>55.74450383</v>
      </c>
      <c r="I1263" t="inlineStr">
        <is>
          <t>CD2</t>
        </is>
      </c>
      <c r="J1263" t="n">
        <v>0.1728079835964528</v>
      </c>
      <c r="K1263" t="inlineStr"/>
      <c r="L1263" t="n">
        <v>0.92484</v>
      </c>
      <c r="M1263" t="n">
        <v>0.925039173</v>
      </c>
      <c r="N1263" t="inlineStr">
        <is>
          <t>Yes</t>
        </is>
      </c>
      <c r="O1263" t="inlineStr">
        <is>
          <t>improve</t>
        </is>
      </c>
      <c r="P1263" t="inlineStr">
        <is>
          <t>adjusted decimals</t>
        </is>
      </c>
      <c r="Q1263" t="inlineStr"/>
      <c r="R1263" t="inlineStr"/>
      <c r="S1263">
        <f>HYPERLINK("https://helical-indexing-hi3d.streamlit.app/?emd_id=emd-0840&amp;rise=102.8277042&amp;twist=55.74450383&amp;csym=D2&amp;rise2=103.0&amp;twist2=55.7&amp;csym2=2", "Link")</f>
        <v/>
      </c>
    </row>
    <row r="1264">
      <c r="A1264" t="inlineStr">
        <is>
          <t>EMD-23497</t>
        </is>
      </c>
      <c r="B1264" t="inlineStr">
        <is>
          <t>non-amyloid</t>
        </is>
      </c>
      <c r="C1264" t="n">
        <v>6.1</v>
      </c>
      <c r="D1264" t="n">
        <v>27.3</v>
      </c>
      <c r="E1264" t="n">
        <v>-166.5</v>
      </c>
      <c r="F1264" t="inlineStr">
        <is>
          <t>C1</t>
        </is>
      </c>
      <c r="G1264" t="inlineStr">
        <is>
          <t>27.3</t>
        </is>
      </c>
      <c r="H1264" t="n">
        <v>-166.5</v>
      </c>
      <c r="I1264" t="inlineStr">
        <is>
          <t>C1</t>
        </is>
      </c>
      <c r="J1264" t="n">
        <v>0</v>
      </c>
      <c r="K1264" t="inlineStr"/>
      <c r="L1264" t="n">
        <v>0.880271712</v>
      </c>
      <c r="M1264" t="n">
        <v>0.880271712</v>
      </c>
      <c r="N1264" t="inlineStr">
        <is>
          <t>Yes</t>
        </is>
      </c>
      <c r="O1264" t="inlineStr">
        <is>
          <t>equal</t>
        </is>
      </c>
      <c r="P1264" t="inlineStr">
        <is>
          <t>deposited</t>
        </is>
      </c>
      <c r="Q1264" t="inlineStr"/>
      <c r="R1264" t="inlineStr"/>
      <c r="S1264">
        <f>HYPERLINK("https://helical-indexing-hi3d.streamlit.app/?emd_id=emd-23497&amp;rise=27.3&amp;twist=-166.5&amp;csym=1&amp;rise2=27.3&amp;twist2=-166.5&amp;csym2=1", "Link")</f>
        <v/>
      </c>
    </row>
    <row r="1265">
      <c r="A1265" t="inlineStr">
        <is>
          <t>EMD-10625</t>
        </is>
      </c>
      <c r="B1265" t="inlineStr">
        <is>
          <t>microtubule</t>
        </is>
      </c>
      <c r="C1265" t="n">
        <v>6.1</v>
      </c>
      <c r="D1265" t="n">
        <v>82.18000000000001</v>
      </c>
      <c r="E1265" t="n">
        <v>-0.53</v>
      </c>
      <c r="F1265" t="inlineStr">
        <is>
          <t>C14</t>
        </is>
      </c>
      <c r="G1265" t="inlineStr"/>
      <c r="H1265" t="inlineStr"/>
      <c r="I1265" t="inlineStr">
        <is>
          <t>Cnan</t>
        </is>
      </c>
      <c r="J1265" t="inlineStr"/>
      <c r="K1265" t="inlineStr"/>
      <c r="L1265" t="n">
        <v>0.37538</v>
      </c>
      <c r="M1265" t="n">
        <v>0.7753806600000001</v>
      </c>
      <c r="N1265" t="inlineStr">
        <is>
          <t>Excluded</t>
        </is>
      </c>
      <c r="O1265" t="inlineStr">
        <is>
          <t>improve</t>
        </is>
      </c>
      <c r="P1265" t="inlineStr">
        <is>
          <t>partial map</t>
        </is>
      </c>
      <c r="Q1265" t="inlineStr"/>
      <c r="R1265" t="inlineStr"/>
      <c r="S1265">
        <f>HYPERLINK("https://helical-indexing-hi3d.streamlit.app/?emd_id=emd-10625&amp;rise=nan&amp;twist=nan&amp;csym=nan&amp;rise2=82.18&amp;twist2=-0.53&amp;csym2=14", "Link")</f>
        <v/>
      </c>
    </row>
    <row r="1266">
      <c r="A1266" t="inlineStr">
        <is>
          <t>EMD-10422</t>
        </is>
      </c>
      <c r="B1266" t="inlineStr">
        <is>
          <t>microtubule</t>
        </is>
      </c>
      <c r="C1266" t="n">
        <v>6.1</v>
      </c>
      <c r="D1266" t="n">
        <v>8.949999999999999</v>
      </c>
      <c r="E1266" t="n">
        <v>-25.7</v>
      </c>
      <c r="F1266" t="inlineStr">
        <is>
          <t>C1</t>
        </is>
      </c>
      <c r="G1266" t="inlineStr"/>
      <c r="H1266" t="inlineStr"/>
      <c r="I1266" t="inlineStr">
        <is>
          <t>C1</t>
        </is>
      </c>
      <c r="J1266" t="inlineStr"/>
      <c r="K1266" t="inlineStr"/>
      <c r="L1266" t="inlineStr"/>
      <c r="M1266" t="inlineStr"/>
      <c r="N1266" t="inlineStr">
        <is>
          <t>No</t>
        </is>
      </c>
      <c r="O1266" t="inlineStr"/>
      <c r="P1266" t="inlineStr">
        <is>
          <t>single unit</t>
        </is>
      </c>
      <c r="Q1266" t="inlineStr"/>
      <c r="R1266" t="inlineStr"/>
      <c r="S1266">
        <f>HYPERLINK("https://helical-indexing-hi3d.streamlit.app/?emd_id=emd-10422&amp;rise=nan&amp;twist=nan&amp;csym=1&amp;rise2=8.95&amp;twist2=-25.7&amp;csym2=1", "Link")</f>
        <v/>
      </c>
    </row>
    <row r="1267">
      <c r="A1267" t="inlineStr">
        <is>
          <t>EMD-2237</t>
        </is>
      </c>
      <c r="B1267" t="inlineStr">
        <is>
          <t>non-amyloid</t>
        </is>
      </c>
      <c r="C1267" t="n">
        <v>6.1</v>
      </c>
      <c r="D1267" t="n">
        <v>3.53</v>
      </c>
      <c r="E1267" t="n">
        <v>43.84</v>
      </c>
      <c r="F1267" t="inlineStr">
        <is>
          <t>C1</t>
        </is>
      </c>
      <c r="G1267" t="inlineStr">
        <is>
          <t>3.530447283</t>
        </is>
      </c>
      <c r="H1267" t="n">
        <v>-43.83395645</v>
      </c>
      <c r="I1267" t="inlineStr">
        <is>
          <t>C1</t>
        </is>
      </c>
      <c r="J1267" t="n">
        <v>16.7613260906815</v>
      </c>
      <c r="K1267" t="inlineStr">
        <is>
          <t> </t>
        </is>
      </c>
      <c r="L1267" t="n">
        <v>0.55402</v>
      </c>
      <c r="M1267" t="n">
        <v>0.996965554</v>
      </c>
      <c r="N1267" t="inlineStr">
        <is>
          <t>Yes</t>
        </is>
      </c>
      <c r="O1267" t="inlineStr">
        <is>
          <t>improve</t>
        </is>
      </c>
      <c r="P1267" t="inlineStr">
        <is>
          <t>twist sign</t>
        </is>
      </c>
      <c r="Q1267" t="inlineStr"/>
      <c r="R1267" t="inlineStr"/>
      <c r="S1267">
        <f>HYPERLINK("https://helical-indexing-hi3d.streamlit.app/?emd_id=emd-2237&amp;rise=3.530447283&amp;twist=-43.83395645&amp;csym=1&amp;rise2=3.53&amp;twist2=43.84&amp;csym2=1", "Link")</f>
        <v/>
      </c>
    </row>
    <row r="1268">
      <c r="A1268" t="inlineStr">
        <is>
          <t>EMD-8474</t>
        </is>
      </c>
      <c r="B1268" t="inlineStr">
        <is>
          <t>non-amyloid</t>
        </is>
      </c>
      <c r="C1268" t="n">
        <v>6.1</v>
      </c>
      <c r="D1268" t="n">
        <v>104.1</v>
      </c>
      <c r="E1268" t="n">
        <v>60.6</v>
      </c>
      <c r="F1268" t="inlineStr">
        <is>
          <t>C1</t>
        </is>
      </c>
      <c r="G1268" t="inlineStr">
        <is>
          <t>104.1</t>
        </is>
      </c>
      <c r="H1268" t="n">
        <v>60.6</v>
      </c>
      <c r="I1268" t="inlineStr">
        <is>
          <t>C1</t>
        </is>
      </c>
      <c r="J1268" t="n">
        <v>0</v>
      </c>
      <c r="K1268" t="inlineStr"/>
      <c r="L1268" t="n">
        <v>0.994897146</v>
      </c>
      <c r="M1268" t="n">
        <v>0.994897146</v>
      </c>
      <c r="N1268" t="inlineStr">
        <is>
          <t>Yes</t>
        </is>
      </c>
      <c r="O1268" t="inlineStr">
        <is>
          <t>equal</t>
        </is>
      </c>
      <c r="P1268" t="inlineStr">
        <is>
          <t>deposited</t>
        </is>
      </c>
      <c r="Q1268" t="inlineStr"/>
      <c r="R1268" t="inlineStr"/>
      <c r="S1268">
        <f>HYPERLINK("https://helical-indexing-hi3d.streamlit.app/?emd_id=emd-8474&amp;rise=104.1&amp;twist=60.6&amp;csym=1&amp;rise2=104.1&amp;twist2=60.6&amp;csym2=1", "Link")</f>
        <v/>
      </c>
    </row>
    <row r="1269">
      <c r="A1269" t="inlineStr">
        <is>
          <t>EMD-4188</t>
        </is>
      </c>
      <c r="B1269" t="inlineStr">
        <is>
          <t>microtubule</t>
        </is>
      </c>
      <c r="C1269" t="n">
        <v>6.1</v>
      </c>
      <c r="D1269" t="n">
        <v>9.37308</v>
      </c>
      <c r="E1269" t="n">
        <v>27.692</v>
      </c>
      <c r="F1269" t="inlineStr">
        <is>
          <t>C1</t>
        </is>
      </c>
      <c r="G1269" t="inlineStr"/>
      <c r="H1269" t="inlineStr"/>
      <c r="I1269" t="inlineStr">
        <is>
          <t>C1</t>
        </is>
      </c>
      <c r="J1269" t="inlineStr"/>
      <c r="K1269" t="inlineStr"/>
      <c r="L1269" t="inlineStr"/>
      <c r="M1269" t="inlineStr"/>
      <c r="N1269" t="inlineStr">
        <is>
          <t>No</t>
        </is>
      </c>
      <c r="O1269" t="inlineStr"/>
      <c r="P1269" t="inlineStr">
        <is>
          <t>single unit</t>
        </is>
      </c>
      <c r="Q1269" t="inlineStr"/>
      <c r="R1269" t="inlineStr"/>
      <c r="S1269">
        <f>HYPERLINK("https://helical-indexing-hi3d.streamlit.app/?emd_id=emd-4188&amp;rise=nan&amp;twist=nan&amp;csym=1&amp;rise2=9.37308&amp;twist2=27.692&amp;csym2=1", "Link")</f>
        <v/>
      </c>
    </row>
    <row r="1270">
      <c r="A1270" t="inlineStr">
        <is>
          <t>EMD-3689</t>
        </is>
      </c>
      <c r="B1270" t="inlineStr">
        <is>
          <t>non-amyloid</t>
        </is>
      </c>
      <c r="C1270" t="n">
        <v>6.2</v>
      </c>
      <c r="D1270" t="n">
        <v>40.6</v>
      </c>
      <c r="E1270" t="n">
        <v>39.1</v>
      </c>
      <c r="F1270" t="inlineStr">
        <is>
          <t>C3</t>
        </is>
      </c>
      <c r="G1270" t="inlineStr">
        <is>
          <t>40.6</t>
        </is>
      </c>
      <c r="H1270" t="n">
        <v>39.1</v>
      </c>
      <c r="I1270" t="inlineStr">
        <is>
          <t>C3</t>
        </is>
      </c>
      <c r="J1270" t="n">
        <v>0</v>
      </c>
      <c r="K1270" t="inlineStr"/>
      <c r="L1270" t="n">
        <v>0.92581</v>
      </c>
      <c r="M1270" t="n">
        <v>0.92581</v>
      </c>
      <c r="N1270" t="inlineStr">
        <is>
          <t>Yes</t>
        </is>
      </c>
      <c r="O1270" t="inlineStr">
        <is>
          <t>equal</t>
        </is>
      </c>
      <c r="P1270" t="inlineStr">
        <is>
          <t>deposited</t>
        </is>
      </c>
      <c r="Q1270" t="inlineStr"/>
      <c r="R1270" t="inlineStr"/>
      <c r="S1270">
        <f>HYPERLINK("https://helical-indexing-hi3d.streamlit.app/?emd_id=emd-3689&amp;rise=40.6&amp;twist=39.1&amp;csym=3&amp;rise2=40.6&amp;twist2=39.1&amp;csym2=3", "Link")</f>
        <v/>
      </c>
    </row>
    <row r="1271">
      <c r="A1271" t="inlineStr">
        <is>
          <t>EMD-17030</t>
        </is>
      </c>
      <c r="B1271" t="inlineStr">
        <is>
          <t>non-amyloid</t>
        </is>
      </c>
      <c r="C1271" t="n">
        <v>6.2</v>
      </c>
      <c r="D1271" t="n">
        <v>105.3</v>
      </c>
      <c r="E1271" t="n">
        <v>149.453</v>
      </c>
      <c r="F1271" t="inlineStr">
        <is>
          <t>C1</t>
        </is>
      </c>
      <c r="G1271" t="inlineStr">
        <is>
          <t>105.3</t>
        </is>
      </c>
      <c r="H1271" t="n">
        <v>149.453</v>
      </c>
      <c r="I1271" t="inlineStr">
        <is>
          <t>C1</t>
        </is>
      </c>
      <c r="J1271" t="n">
        <v>0</v>
      </c>
      <c r="K1271" t="inlineStr"/>
      <c r="L1271" t="n">
        <v>0.967367759</v>
      </c>
      <c r="M1271" t="n">
        <v>0.967367759</v>
      </c>
      <c r="N1271" t="inlineStr">
        <is>
          <t>Yes</t>
        </is>
      </c>
      <c r="O1271" t="inlineStr">
        <is>
          <t>equal</t>
        </is>
      </c>
      <c r="P1271" t="inlineStr">
        <is>
          <t>deposited</t>
        </is>
      </c>
      <c r="Q1271" t="inlineStr"/>
      <c r="R1271" t="inlineStr"/>
      <c r="S1271">
        <f>HYPERLINK("https://helical-indexing-hi3d.streamlit.app/?emd_id=emd-17030&amp;rise=105.3&amp;twist=149.453&amp;csym=1&amp;rise2=105.3&amp;twist2=149.453&amp;csym2=1", "Link")</f>
        <v/>
      </c>
    </row>
    <row r="1272">
      <c r="A1272" t="inlineStr">
        <is>
          <t>EMD-2072</t>
        </is>
      </c>
      <c r="B1272" t="inlineStr">
        <is>
          <t>non-amyloid</t>
        </is>
      </c>
      <c r="C1272" t="n">
        <v>6.2</v>
      </c>
      <c r="D1272" t="inlineStr"/>
      <c r="E1272" t="inlineStr"/>
      <c r="F1272" t="inlineStr"/>
      <c r="G1272" t="inlineStr"/>
      <c r="H1272" t="inlineStr"/>
      <c r="I1272" t="inlineStr">
        <is>
          <t>C1</t>
        </is>
      </c>
      <c r="J1272" t="inlineStr"/>
      <c r="K1272" t="inlineStr"/>
      <c r="L1272" t="inlineStr"/>
      <c r="M1272" t="inlineStr"/>
      <c r="N1272" t="inlineStr">
        <is>
          <t>No</t>
        </is>
      </c>
      <c r="O1272" t="inlineStr"/>
      <c r="P1272" t="inlineStr">
        <is>
          <t>single unit</t>
        </is>
      </c>
      <c r="Q1272" t="inlineStr"/>
      <c r="R1272" t="inlineStr"/>
      <c r="S1272" t="inlineStr"/>
    </row>
    <row r="1273">
      <c r="A1273" t="inlineStr">
        <is>
          <t>EMD-2071</t>
        </is>
      </c>
      <c r="B1273" t="inlineStr">
        <is>
          <t>non-amyloid</t>
        </is>
      </c>
      <c r="C1273" t="n">
        <v>6.2</v>
      </c>
      <c r="D1273" t="inlineStr"/>
      <c r="E1273" t="inlineStr"/>
      <c r="F1273" t="inlineStr"/>
      <c r="G1273" t="inlineStr"/>
      <c r="H1273" t="inlineStr"/>
      <c r="I1273" t="inlineStr">
        <is>
          <t>C1</t>
        </is>
      </c>
      <c r="J1273" t="inlineStr"/>
      <c r="K1273" t="inlineStr"/>
      <c r="L1273" t="inlineStr"/>
      <c r="M1273" t="inlineStr"/>
      <c r="N1273" t="inlineStr">
        <is>
          <t>No</t>
        </is>
      </c>
      <c r="O1273" t="inlineStr"/>
      <c r="P1273" t="inlineStr">
        <is>
          <t>single unit</t>
        </is>
      </c>
      <c r="Q1273" t="inlineStr"/>
      <c r="R1273" t="inlineStr"/>
      <c r="S1273" t="inlineStr"/>
    </row>
    <row r="1274">
      <c r="A1274" t="inlineStr">
        <is>
          <t>EMD-4051</t>
        </is>
      </c>
      <c r="B1274" t="inlineStr">
        <is>
          <t>non-amyloid</t>
        </is>
      </c>
      <c r="C1274" t="n">
        <v>6.2</v>
      </c>
      <c r="D1274" t="n">
        <v>38.9</v>
      </c>
      <c r="E1274" t="n">
        <v>21.4</v>
      </c>
      <c r="F1274" t="inlineStr">
        <is>
          <t>C6</t>
        </is>
      </c>
      <c r="G1274" t="inlineStr">
        <is>
          <t>38.9</t>
        </is>
      </c>
      <c r="H1274" t="n">
        <v>21.4</v>
      </c>
      <c r="I1274" t="inlineStr">
        <is>
          <t>C6</t>
        </is>
      </c>
      <c r="J1274" t="n">
        <v>0</v>
      </c>
      <c r="K1274" t="inlineStr"/>
      <c r="L1274" t="n">
        <v>0.88336</v>
      </c>
      <c r="M1274" t="n">
        <v>0.88336</v>
      </c>
      <c r="N1274" t="inlineStr">
        <is>
          <t>Yes</t>
        </is>
      </c>
      <c r="O1274" t="inlineStr">
        <is>
          <t>equal</t>
        </is>
      </c>
      <c r="P1274" t="inlineStr">
        <is>
          <t>deposited</t>
        </is>
      </c>
      <c r="Q1274" t="inlineStr"/>
      <c r="R1274" t="inlineStr"/>
      <c r="S1274">
        <f>HYPERLINK("https://helical-indexing-hi3d.streamlit.app/?emd_id=emd-4051&amp;rise=38.9&amp;twist=21.4&amp;csym=6&amp;rise2=38.9&amp;twist2=21.4&amp;csym2=6", "Link")</f>
        <v/>
      </c>
    </row>
    <row r="1275">
      <c r="A1275" t="inlineStr">
        <is>
          <t>EMD-11861</t>
        </is>
      </c>
      <c r="B1275" t="inlineStr">
        <is>
          <t>non-amyloid</t>
        </is>
      </c>
      <c r="C1275" t="n">
        <v>6.2</v>
      </c>
      <c r="D1275" t="n">
        <v>108</v>
      </c>
      <c r="E1275" t="n">
        <v>121</v>
      </c>
      <c r="F1275" t="inlineStr">
        <is>
          <t>C1</t>
        </is>
      </c>
      <c r="G1275" t="inlineStr">
        <is>
          <t>108</t>
        </is>
      </c>
      <c r="H1275" t="n">
        <v>121</v>
      </c>
      <c r="I1275" t="inlineStr">
        <is>
          <t>C1</t>
        </is>
      </c>
      <c r="J1275" t="n">
        <v>0</v>
      </c>
      <c r="K1275" t="inlineStr">
        <is>
          <t>z -&gt; x</t>
        </is>
      </c>
      <c r="L1275" t="n">
        <v>0.55727</v>
      </c>
      <c r="M1275" t="n">
        <v>0.454410245</v>
      </c>
      <c r="N1275" t="inlineStr">
        <is>
          <t>Excluded</t>
        </is>
      </c>
      <c r="O1275" t="inlineStr">
        <is>
          <t>worse</t>
        </is>
      </c>
      <c r="P1275" t="inlineStr">
        <is>
          <t>focus reconstruction</t>
        </is>
      </c>
      <c r="Q1275" t="inlineStr"/>
      <c r="R1275" t="inlineStr"/>
      <c r="S1275">
        <f>HYPERLINK("https://helical-indexing-hi3d.streamlit.app/?emd_id=emd-11861&amp;rise=108&amp;twist=121.0&amp;csym=1&amp;rise2=108.0&amp;twist2=121.0&amp;csym2=1", "Link")</f>
        <v/>
      </c>
    </row>
    <row r="1276">
      <c r="A1276" t="inlineStr">
        <is>
          <t>EMD-20590</t>
        </is>
      </c>
      <c r="B1276" t="inlineStr">
        <is>
          <t>non-amyloid</t>
        </is>
      </c>
      <c r="C1276" t="n">
        <v>6.2</v>
      </c>
      <c r="D1276" t="n">
        <v>1.86</v>
      </c>
      <c r="E1276" t="n">
        <v>13.86</v>
      </c>
      <c r="F1276" t="inlineStr">
        <is>
          <t>C1</t>
        </is>
      </c>
      <c r="G1276" t="inlineStr">
        <is>
          <t>1.86</t>
        </is>
      </c>
      <c r="H1276" t="n">
        <v>13.86</v>
      </c>
      <c r="I1276" t="inlineStr">
        <is>
          <t>C1</t>
        </is>
      </c>
      <c r="J1276" t="n">
        <v>0</v>
      </c>
      <c r="K1276" t="inlineStr"/>
      <c r="L1276" t="n">
        <v>0.95153</v>
      </c>
      <c r="M1276" t="n">
        <v>0.95153</v>
      </c>
      <c r="N1276" t="inlineStr">
        <is>
          <t>Yes</t>
        </is>
      </c>
      <c r="O1276" t="inlineStr">
        <is>
          <t>equal</t>
        </is>
      </c>
      <c r="P1276" t="inlineStr">
        <is>
          <t>deposited</t>
        </is>
      </c>
      <c r="Q1276" t="inlineStr"/>
      <c r="R1276" t="inlineStr"/>
      <c r="S1276">
        <f>HYPERLINK("https://helical-indexing-hi3d.streamlit.app/?emd_id=emd-20590&amp;rise=1.86&amp;twist=13.86&amp;csym=1&amp;rise2=1.86&amp;twist2=13.86&amp;csym2=1", "Link")</f>
        <v/>
      </c>
    </row>
    <row r="1277">
      <c r="A1277" t="inlineStr">
        <is>
          <t>EMD-8060</t>
        </is>
      </c>
      <c r="B1277" t="inlineStr">
        <is>
          <t>microtubule</t>
        </is>
      </c>
      <c r="C1277" t="n">
        <v>6.3</v>
      </c>
      <c r="D1277" t="n">
        <v>8.751208</v>
      </c>
      <c r="E1277" t="n">
        <v>-25.72519</v>
      </c>
      <c r="F1277" t="inlineStr">
        <is>
          <t>C1</t>
        </is>
      </c>
      <c r="G1277" t="inlineStr"/>
      <c r="H1277" t="inlineStr"/>
      <c r="I1277" t="inlineStr">
        <is>
          <t>Cnan</t>
        </is>
      </c>
      <c r="J1277" t="inlineStr"/>
      <c r="K1277" t="inlineStr">
        <is>
          <t> </t>
        </is>
      </c>
      <c r="L1277" t="inlineStr"/>
      <c r="M1277" t="inlineStr"/>
      <c r="N1277" t="inlineStr">
        <is>
          <t>No</t>
        </is>
      </c>
      <c r="O1277" t="inlineStr">
        <is>
          <t>equal</t>
        </is>
      </c>
      <c r="P1277" t="inlineStr"/>
      <c r="Q1277" t="inlineStr"/>
      <c r="R1277" t="inlineStr"/>
      <c r="S1277">
        <f>HYPERLINK("https://helical-indexing-hi3d.streamlit.app/?emd_id=emd-8060&amp;rise=nan&amp;twist=nan&amp;csym=nan&amp;rise2=8.751208&amp;twist2=-25.72519&amp;csym2=1", "Link")</f>
        <v/>
      </c>
    </row>
    <row r="1278">
      <c r="A1278" t="inlineStr">
        <is>
          <t>EMD-24596</t>
        </is>
      </c>
      <c r="B1278" t="inlineStr">
        <is>
          <t>non-amyloid</t>
        </is>
      </c>
      <c r="C1278" t="n">
        <v>6.3</v>
      </c>
      <c r="D1278" t="n">
        <v>1.08</v>
      </c>
      <c r="E1278" t="n">
        <v>-156</v>
      </c>
      <c r="F1278" t="inlineStr">
        <is>
          <t>C1</t>
        </is>
      </c>
      <c r="G1278" t="inlineStr">
        <is>
          <t>1.08</t>
        </is>
      </c>
      <c r="H1278" t="n">
        <v>-156</v>
      </c>
      <c r="I1278" t="inlineStr">
        <is>
          <t>C1</t>
        </is>
      </c>
      <c r="J1278" t="n">
        <v>0</v>
      </c>
      <c r="K1278" t="inlineStr"/>
      <c r="L1278" t="n">
        <v>0.9715756639999999</v>
      </c>
      <c r="M1278" t="n">
        <v>0.9715756639999999</v>
      </c>
      <c r="N1278" t="inlineStr">
        <is>
          <t>Yes</t>
        </is>
      </c>
      <c r="O1278" t="inlineStr">
        <is>
          <t>equal</t>
        </is>
      </c>
      <c r="P1278" t="inlineStr">
        <is>
          <t>deposited</t>
        </is>
      </c>
      <c r="Q1278" t="inlineStr"/>
      <c r="R1278" t="inlineStr"/>
      <c r="S1278">
        <f>HYPERLINK("https://helical-indexing-hi3d.streamlit.app/?emd_id=emd-24596&amp;rise=1.08&amp;twist=-156.0&amp;csym=1&amp;rise2=1.08&amp;twist2=-156.0&amp;csym2=1", "Link")</f>
        <v/>
      </c>
    </row>
    <row r="1279">
      <c r="A1279" t="inlineStr">
        <is>
          <t>EMD-21424</t>
        </is>
      </c>
      <c r="B1279" t="inlineStr">
        <is>
          <t>non-amyloid</t>
        </is>
      </c>
      <c r="C1279" t="n">
        <v>6.3</v>
      </c>
      <c r="D1279" t="n">
        <v>7.61</v>
      </c>
      <c r="E1279" t="n">
        <v>150.32</v>
      </c>
      <c r="F1279" t="inlineStr">
        <is>
          <t>C1</t>
        </is>
      </c>
      <c r="G1279" t="inlineStr">
        <is>
          <t>7.608236386</t>
        </is>
      </c>
      <c r="H1279" t="n">
        <v>-150.3204549</v>
      </c>
      <c r="I1279" t="inlineStr">
        <is>
          <t>C1</t>
        </is>
      </c>
      <c r="J1279" t="n">
        <v>22.82156743181569</v>
      </c>
      <c r="K1279" t="inlineStr">
        <is>
          <t> </t>
        </is>
      </c>
      <c r="L1279" t="n">
        <v>0.6802452919999999</v>
      </c>
      <c r="M1279" t="n">
        <v>0.9628409449999999</v>
      </c>
      <c r="N1279" t="inlineStr">
        <is>
          <t>Yes</t>
        </is>
      </c>
      <c r="O1279" t="inlineStr">
        <is>
          <t>improve</t>
        </is>
      </c>
      <c r="P1279" t="inlineStr">
        <is>
          <t>twist sign</t>
        </is>
      </c>
      <c r="Q1279" t="inlineStr"/>
      <c r="R1279" t="inlineStr"/>
      <c r="S1279">
        <f>HYPERLINK("https://helical-indexing-hi3d.streamlit.app/?emd_id=emd-21424&amp;rise=7.608236386&amp;twist=-150.3204549&amp;csym=1&amp;rise2=7.61&amp;twist2=150.32&amp;csym2=1", "Link")</f>
        <v/>
      </c>
    </row>
    <row r="1280">
      <c r="A1280" t="inlineStr">
        <is>
          <t>EMD-13778</t>
        </is>
      </c>
      <c r="B1280" t="inlineStr">
        <is>
          <t>non-amyloid</t>
        </is>
      </c>
      <c r="C1280" t="n">
        <v>6.3</v>
      </c>
      <c r="D1280" t="n">
        <v>1.408</v>
      </c>
      <c r="E1280" t="n">
        <v>22.03</v>
      </c>
      <c r="F1280" t="inlineStr">
        <is>
          <t>C1</t>
        </is>
      </c>
      <c r="G1280" t="inlineStr">
        <is>
          <t>1.408</t>
        </is>
      </c>
      <c r="H1280" t="n">
        <v>22.03</v>
      </c>
      <c r="I1280" t="inlineStr">
        <is>
          <t>C1</t>
        </is>
      </c>
      <c r="J1280" t="n">
        <v>0</v>
      </c>
      <c r="K1280" t="inlineStr"/>
      <c r="L1280" t="n">
        <v>0.99071</v>
      </c>
      <c r="M1280" t="n">
        <v>0.99071</v>
      </c>
      <c r="N1280" t="inlineStr">
        <is>
          <t>Yes</t>
        </is>
      </c>
      <c r="O1280" t="inlineStr">
        <is>
          <t>equal</t>
        </is>
      </c>
      <c r="P1280" t="inlineStr">
        <is>
          <t>deposited</t>
        </is>
      </c>
      <c r="Q1280" t="inlineStr"/>
      <c r="R1280" t="inlineStr"/>
      <c r="S1280">
        <f>HYPERLINK("https://helical-indexing-hi3d.streamlit.app/?emd_id=emd-13778&amp;rise=1.408&amp;twist=22.03&amp;csym=1&amp;rise2=1.408&amp;twist2=22.03&amp;csym2=1", "Link")</f>
        <v/>
      </c>
    </row>
    <row r="1281">
      <c r="A1281" t="inlineStr">
        <is>
          <t>EMD-20242</t>
        </is>
      </c>
      <c r="B1281" t="inlineStr">
        <is>
          <t>non-amyloid</t>
        </is>
      </c>
      <c r="C1281" t="n">
        <v>6.4</v>
      </c>
      <c r="D1281" t="n">
        <v>42.8</v>
      </c>
      <c r="E1281" t="n">
        <v>17.5</v>
      </c>
      <c r="F1281" t="inlineStr">
        <is>
          <t>C6</t>
        </is>
      </c>
      <c r="G1281" t="inlineStr">
        <is>
          <t>42.76006132</t>
        </is>
      </c>
      <c r="H1281" t="n">
        <v>17.48709252</v>
      </c>
      <c r="I1281" t="inlineStr">
        <is>
          <t>C6</t>
        </is>
      </c>
      <c r="J1281" t="n">
        <v>0.0401469824458801</v>
      </c>
      <c r="K1281" t="inlineStr"/>
      <c r="L1281" t="n">
        <v>0.94798</v>
      </c>
      <c r="M1281" t="n">
        <v>0.94812181</v>
      </c>
      <c r="N1281" t="inlineStr">
        <is>
          <t>Yes</t>
        </is>
      </c>
      <c r="O1281" t="inlineStr">
        <is>
          <t>improve</t>
        </is>
      </c>
      <c r="P1281" t="inlineStr">
        <is>
          <t>adjusted decimals</t>
        </is>
      </c>
      <c r="Q1281" t="inlineStr"/>
      <c r="R1281" t="inlineStr"/>
      <c r="S1281">
        <f>HYPERLINK("https://helical-indexing-hi3d.streamlit.app/?emd_id=emd-20242&amp;rise=42.76006132&amp;twist=17.48709252&amp;csym=6&amp;rise2=42.8&amp;twist2=17.5&amp;csym2=6", "Link")</f>
        <v/>
      </c>
    </row>
    <row r="1282">
      <c r="A1282" t="inlineStr">
        <is>
          <t>EMD-6783</t>
        </is>
      </c>
      <c r="B1282" t="inlineStr">
        <is>
          <t>microtubule</t>
        </is>
      </c>
      <c r="C1282" t="n">
        <v>6.43</v>
      </c>
      <c r="D1282" t="n">
        <v>8.863200000000001</v>
      </c>
      <c r="E1282" t="n">
        <v>-25.7541</v>
      </c>
      <c r="F1282" t="inlineStr">
        <is>
          <t>C1</t>
        </is>
      </c>
      <c r="G1282" t="inlineStr"/>
      <c r="H1282" t="inlineStr"/>
      <c r="I1282" t="inlineStr">
        <is>
          <t>C1</t>
        </is>
      </c>
      <c r="J1282" t="inlineStr"/>
      <c r="K1282" t="inlineStr"/>
      <c r="L1282" t="inlineStr"/>
      <c r="M1282" t="inlineStr"/>
      <c r="N1282" t="inlineStr">
        <is>
          <t>No</t>
        </is>
      </c>
      <c r="O1282" t="inlineStr"/>
      <c r="P1282" t="inlineStr">
        <is>
          <t>single unit</t>
        </is>
      </c>
      <c r="Q1282" t="inlineStr"/>
      <c r="R1282" t="inlineStr"/>
      <c r="S1282">
        <f>HYPERLINK("https://helical-indexing-hi3d.streamlit.app/?emd_id=emd-6783&amp;rise=nan&amp;twist=nan&amp;csym=1&amp;rise2=8.8632&amp;twist2=-25.7541&amp;csym2=1", "Link")</f>
        <v/>
      </c>
    </row>
    <row r="1283">
      <c r="A1283" t="inlineStr">
        <is>
          <t>EMD-6781</t>
        </is>
      </c>
      <c r="B1283" t="inlineStr">
        <is>
          <t>microtubule</t>
        </is>
      </c>
      <c r="C1283" t="n">
        <v>6.46</v>
      </c>
      <c r="D1283" t="n">
        <v>8.623699999999999</v>
      </c>
      <c r="E1283" t="n">
        <v>-25.768</v>
      </c>
      <c r="F1283" t="inlineStr">
        <is>
          <t>C1</t>
        </is>
      </c>
      <c r="G1283" t="inlineStr"/>
      <c r="H1283" t="inlineStr"/>
      <c r="I1283" t="inlineStr">
        <is>
          <t>C1</t>
        </is>
      </c>
      <c r="J1283" t="inlineStr"/>
      <c r="K1283" t="inlineStr"/>
      <c r="L1283" t="inlineStr"/>
      <c r="M1283" t="inlineStr"/>
      <c r="N1283" t="inlineStr">
        <is>
          <t>No</t>
        </is>
      </c>
      <c r="O1283" t="inlineStr"/>
      <c r="P1283" t="inlineStr">
        <is>
          <t>single unit</t>
        </is>
      </c>
      <c r="Q1283" t="inlineStr"/>
      <c r="R1283" t="inlineStr"/>
      <c r="S1283">
        <f>HYPERLINK("https://helical-indexing-hi3d.streamlit.app/?emd_id=emd-6781&amp;rise=nan&amp;twist=nan&amp;csym=1&amp;rise2=8.6237&amp;twist2=-25.768&amp;csym2=1", "Link")</f>
        <v/>
      </c>
    </row>
    <row r="1284">
      <c r="A1284" t="inlineStr">
        <is>
          <t>EMD-33012</t>
        </is>
      </c>
      <c r="B1284" t="inlineStr">
        <is>
          <t>non-amyloid</t>
        </is>
      </c>
      <c r="C1284" t="n">
        <v>6.5</v>
      </c>
      <c r="D1284" t="n">
        <v>22.6</v>
      </c>
      <c r="E1284" t="n">
        <v>165.7</v>
      </c>
      <c r="F1284" t="inlineStr">
        <is>
          <t>C1</t>
        </is>
      </c>
      <c r="G1284" t="inlineStr">
        <is>
          <t>21.68616409</t>
        </is>
      </c>
      <c r="H1284" t="n">
        <v>165.6715136</v>
      </c>
      <c r="I1284" t="inlineStr">
        <is>
          <t>C1</t>
        </is>
      </c>
      <c r="J1284" t="n">
        <v>0.913885267573828</v>
      </c>
      <c r="K1284" t="inlineStr"/>
      <c r="L1284" t="n">
        <v>0.88546</v>
      </c>
      <c r="M1284" t="n">
        <v>0.9998882650000001</v>
      </c>
      <c r="N1284" t="inlineStr">
        <is>
          <t>Yes</t>
        </is>
      </c>
      <c r="O1284" t="inlineStr">
        <is>
          <t>improve</t>
        </is>
      </c>
      <c r="P1284" t="inlineStr">
        <is>
          <t>adjusted decimals</t>
        </is>
      </c>
      <c r="Q1284" t="inlineStr"/>
      <c r="R1284" t="inlineStr"/>
      <c r="S1284">
        <f>HYPERLINK("https://helical-indexing-hi3d.streamlit.app/?emd_id=emd-33012&amp;rise=21.68616409&amp;twist=165.6715136&amp;csym=1&amp;rise2=22.6&amp;twist2=165.7&amp;csym2=1", "Link")</f>
        <v/>
      </c>
    </row>
    <row r="1285">
      <c r="A1285" t="inlineStr">
        <is>
          <t>EMD-8180</t>
        </is>
      </c>
      <c r="B1285" t="inlineStr">
        <is>
          <t>non-amyloid</t>
        </is>
      </c>
      <c r="C1285" t="n">
        <v>6.5</v>
      </c>
      <c r="D1285" t="n">
        <v>53.8</v>
      </c>
      <c r="E1285" t="n">
        <v>24</v>
      </c>
      <c r="F1285" t="inlineStr">
        <is>
          <t>C2</t>
        </is>
      </c>
      <c r="G1285" t="inlineStr">
        <is>
          <t>53.8</t>
        </is>
      </c>
      <c r="H1285" t="n">
        <v>24</v>
      </c>
      <c r="I1285" t="inlineStr">
        <is>
          <t>C2</t>
        </is>
      </c>
      <c r="J1285" t="n">
        <v>0</v>
      </c>
      <c r="K1285" t="inlineStr"/>
      <c r="L1285" t="n">
        <v>0.99155</v>
      </c>
      <c r="M1285" t="n">
        <v>0.99155</v>
      </c>
      <c r="N1285" t="inlineStr">
        <is>
          <t>Yes</t>
        </is>
      </c>
      <c r="O1285" t="inlineStr">
        <is>
          <t>equal</t>
        </is>
      </c>
      <c r="P1285" t="inlineStr">
        <is>
          <t>deposited</t>
        </is>
      </c>
      <c r="Q1285" t="inlineStr"/>
      <c r="R1285" t="inlineStr"/>
      <c r="S1285">
        <f>HYPERLINK("https://helical-indexing-hi3d.streamlit.app/?emd_id=emd-8180&amp;rise=53.8&amp;twist=24.0&amp;csym=2&amp;rise2=53.8&amp;twist2=24.0&amp;csym2=2", "Link")</f>
        <v/>
      </c>
    </row>
    <row r="1286">
      <c r="A1286" t="inlineStr">
        <is>
          <t>EMD-40197</t>
        </is>
      </c>
      <c r="B1286" t="inlineStr">
        <is>
          <t>non-amyloid</t>
        </is>
      </c>
      <c r="C1286" t="n">
        <v>6.51</v>
      </c>
      <c r="D1286" t="n">
        <v>12.933</v>
      </c>
      <c r="E1286" t="n">
        <v>37.439</v>
      </c>
      <c r="F1286" t="inlineStr">
        <is>
          <t>C1</t>
        </is>
      </c>
      <c r="G1286" t="inlineStr">
        <is>
          <t>6.43</t>
        </is>
      </c>
      <c r="H1286" t="n">
        <v>-161.29</v>
      </c>
      <c r="I1286" t="inlineStr">
        <is>
          <t>C1</t>
        </is>
      </c>
      <c r="J1286" t="n">
        <v>111.9448686149193</v>
      </c>
      <c r="K1286" t="inlineStr"/>
      <c r="L1286" t="n">
        <v>0.9511370770000001</v>
      </c>
      <c r="M1286" t="n">
        <v>0.9810201200000001</v>
      </c>
      <c r="N1286" t="inlineStr">
        <is>
          <t>Yes</t>
        </is>
      </c>
      <c r="O1286" t="inlineStr">
        <is>
          <t>improve</t>
        </is>
      </c>
      <c r="P1286" t="inlineStr">
        <is>
          <t>different</t>
        </is>
      </c>
      <c r="Q1286" t="inlineStr">
        <is>
          <t>partial symmetry</t>
        </is>
      </c>
      <c r="R1286" t="inlineStr"/>
      <c r="S1286">
        <f>HYPERLINK("https://helical-indexing-hi3d.streamlit.app/?emd_id=emd-40197&amp;rise=6.43&amp;twist=-161.29&amp;csym=1&amp;rise2=12.933&amp;twist2=37.439&amp;csym2=1", "Link")</f>
        <v/>
      </c>
    </row>
    <row r="1287">
      <c r="A1287" t="inlineStr">
        <is>
          <t>EMD-40202</t>
        </is>
      </c>
      <c r="B1287" t="inlineStr">
        <is>
          <t>non-amyloid</t>
        </is>
      </c>
      <c r="C1287" t="n">
        <v>6.55</v>
      </c>
      <c r="D1287" t="n">
        <v>14.07</v>
      </c>
      <c r="E1287" t="n">
        <v>37.25</v>
      </c>
      <c r="F1287" t="inlineStr">
        <is>
          <t>C1</t>
        </is>
      </c>
      <c r="G1287" t="inlineStr"/>
      <c r="H1287" t="inlineStr"/>
      <c r="I1287" t="inlineStr">
        <is>
          <t>C1</t>
        </is>
      </c>
      <c r="J1287" t="inlineStr"/>
      <c r="K1287" t="inlineStr"/>
      <c r="L1287" t="n">
        <v>0.195579096</v>
      </c>
      <c r="M1287" t="n">
        <v>0.18167697</v>
      </c>
      <c r="N1287" t="inlineStr">
        <is>
          <t>Excluded</t>
        </is>
      </c>
      <c r="O1287" t="inlineStr">
        <is>
          <t>worse</t>
        </is>
      </c>
      <c r="P1287" t="inlineStr">
        <is>
          <t>partial map</t>
        </is>
      </c>
      <c r="Q1287" t="inlineStr"/>
      <c r="R1287" t="inlineStr"/>
      <c r="S1287">
        <f>HYPERLINK("https://helical-indexing-hi3d.streamlit.app/?emd_id=emd-40202&amp;rise=nan&amp;twist=nan&amp;csym=1&amp;rise2=14.07&amp;twist2=37.25&amp;csym2=1", "Link")</f>
        <v/>
      </c>
    </row>
    <row r="1288">
      <c r="A1288" t="inlineStr">
        <is>
          <t>EMD-8059</t>
        </is>
      </c>
      <c r="B1288" t="inlineStr">
        <is>
          <t>microtubule</t>
        </is>
      </c>
      <c r="C1288" t="n">
        <v>6.6</v>
      </c>
      <c r="D1288" t="n">
        <v>8.751208</v>
      </c>
      <c r="E1288" t="n">
        <v>-25.72519</v>
      </c>
      <c r="F1288" t="inlineStr">
        <is>
          <t>C1</t>
        </is>
      </c>
      <c r="G1288" t="inlineStr"/>
      <c r="H1288" t="inlineStr"/>
      <c r="I1288" t="inlineStr">
        <is>
          <t>C1</t>
        </is>
      </c>
      <c r="J1288" t="inlineStr"/>
      <c r="K1288" t="inlineStr"/>
      <c r="L1288" t="inlineStr"/>
      <c r="M1288" t="inlineStr"/>
      <c r="N1288" t="inlineStr">
        <is>
          <t>No</t>
        </is>
      </c>
      <c r="O1288" t="inlineStr"/>
      <c r="P1288" t="inlineStr">
        <is>
          <t>single unit</t>
        </is>
      </c>
      <c r="Q1288" t="inlineStr"/>
      <c r="R1288" t="inlineStr"/>
      <c r="S1288">
        <f>HYPERLINK("https://helical-indexing-hi3d.streamlit.app/?emd_id=emd-8059&amp;rise=nan&amp;twist=nan&amp;csym=1&amp;rise2=8.751208&amp;twist2=-25.72519&amp;csym2=1", "Link")</f>
        <v/>
      </c>
    </row>
    <row r="1289">
      <c r="A1289" t="inlineStr">
        <is>
          <t>EMD-15496</t>
        </is>
      </c>
      <c r="B1289" t="inlineStr">
        <is>
          <t>non-amyloid</t>
        </is>
      </c>
      <c r="C1289" t="n">
        <v>6.6</v>
      </c>
      <c r="D1289" t="n">
        <v>1.64</v>
      </c>
      <c r="E1289" t="n">
        <v>-85</v>
      </c>
      <c r="F1289" t="inlineStr">
        <is>
          <t>C1</t>
        </is>
      </c>
      <c r="G1289" t="inlineStr">
        <is>
          <t>1.64</t>
        </is>
      </c>
      <c r="H1289" t="n">
        <v>-85</v>
      </c>
      <c r="I1289" t="inlineStr">
        <is>
          <t>C1</t>
        </is>
      </c>
      <c r="J1289" t="n">
        <v>0</v>
      </c>
      <c r="K1289" t="inlineStr"/>
      <c r="L1289" t="n">
        <v>0.855267389</v>
      </c>
      <c r="M1289" t="n">
        <v>0.855267389</v>
      </c>
      <c r="N1289" t="inlineStr">
        <is>
          <t>Yes</t>
        </is>
      </c>
      <c r="O1289" t="inlineStr">
        <is>
          <t>equal</t>
        </is>
      </c>
      <c r="P1289" t="inlineStr">
        <is>
          <t>deposited</t>
        </is>
      </c>
      <c r="Q1289" t="inlineStr"/>
      <c r="R1289" t="inlineStr"/>
      <c r="S1289">
        <f>HYPERLINK("https://helical-indexing-hi3d.streamlit.app/?emd_id=emd-15496&amp;rise=1.64&amp;twist=-85.0&amp;csym=1&amp;rise2=1.64&amp;twist2=-85.0&amp;csym2=1", "Link")</f>
        <v/>
      </c>
    </row>
    <row r="1290">
      <c r="A1290" t="inlineStr">
        <is>
          <t>EMD-7832</t>
        </is>
      </c>
      <c r="B1290" t="inlineStr">
        <is>
          <t>non-amyloid</t>
        </is>
      </c>
      <c r="C1290" t="n">
        <v>6.6</v>
      </c>
      <c r="D1290" t="n">
        <v>27.52</v>
      </c>
      <c r="E1290" t="n">
        <v>-166.88</v>
      </c>
      <c r="F1290" t="inlineStr">
        <is>
          <t>C1</t>
        </is>
      </c>
      <c r="G1290" t="inlineStr">
        <is>
          <t>27.52</t>
        </is>
      </c>
      <c r="H1290" t="n">
        <v>-166.88</v>
      </c>
      <c r="I1290" t="inlineStr">
        <is>
          <t>C1</t>
        </is>
      </c>
      <c r="J1290" t="n">
        <v>0</v>
      </c>
      <c r="K1290" t="inlineStr"/>
      <c r="L1290" t="n">
        <v>0.963628986</v>
      </c>
      <c r="M1290" t="n">
        <v>0.963628986</v>
      </c>
      <c r="N1290" t="inlineStr">
        <is>
          <t>Yes</t>
        </is>
      </c>
      <c r="O1290" t="inlineStr">
        <is>
          <t>equal</t>
        </is>
      </c>
      <c r="P1290" t="inlineStr">
        <is>
          <t>deposited</t>
        </is>
      </c>
      <c r="Q1290" t="inlineStr"/>
      <c r="R1290" t="inlineStr"/>
      <c r="S1290">
        <f>HYPERLINK("https://helical-indexing-hi3d.streamlit.app/?emd_id=emd-7832&amp;rise=27.52&amp;twist=-166.88&amp;csym=1&amp;rise2=27.52&amp;twist2=-166.88&amp;csym2=1", "Link")</f>
        <v/>
      </c>
    </row>
    <row r="1291">
      <c r="A1291" t="inlineStr">
        <is>
          <t>EMD-5168</t>
        </is>
      </c>
      <c r="B1291" t="inlineStr">
        <is>
          <t>non-amyloid</t>
        </is>
      </c>
      <c r="C1291" t="n">
        <v>6.6</v>
      </c>
      <c r="D1291" t="n">
        <v>27.6</v>
      </c>
      <c r="E1291" t="n">
        <v>166.6</v>
      </c>
      <c r="F1291" t="inlineStr"/>
      <c r="G1291" t="inlineStr">
        <is>
          <t>55.06271904</t>
        </is>
      </c>
      <c r="H1291" t="n">
        <v>26.83569204</v>
      </c>
      <c r="I1291" t="inlineStr">
        <is>
          <t>Cnan</t>
        </is>
      </c>
      <c r="J1291" t="n">
        <v>34.7534144219598</v>
      </c>
      <c r="K1291" t="inlineStr"/>
      <c r="L1291" t="n">
        <v>0.31224</v>
      </c>
      <c r="M1291" t="n">
        <v>0.9981544020000001</v>
      </c>
      <c r="N1291" t="inlineStr">
        <is>
          <t>Yes</t>
        </is>
      </c>
      <c r="O1291" t="inlineStr">
        <is>
          <t>improve</t>
        </is>
      </c>
      <c r="P1291" t="inlineStr">
        <is>
          <t>different</t>
        </is>
      </c>
      <c r="Q1291" t="inlineStr"/>
      <c r="R1291" t="inlineStr"/>
      <c r="S1291" t="inlineStr"/>
    </row>
    <row r="1292">
      <c r="A1292" t="inlineStr">
        <is>
          <t>EMD-8058</t>
        </is>
      </c>
      <c r="B1292" t="inlineStr">
        <is>
          <t>microtubule</t>
        </is>
      </c>
      <c r="C1292" t="n">
        <v>6.6</v>
      </c>
      <c r="D1292" t="n">
        <v>8.648645999999999</v>
      </c>
      <c r="E1292" t="n">
        <v>-25.719666</v>
      </c>
      <c r="F1292" t="inlineStr">
        <is>
          <t>C1</t>
        </is>
      </c>
      <c r="G1292" t="inlineStr">
        <is>
          <t>40.36994031</t>
        </is>
      </c>
      <c r="H1292" t="n">
        <v>-0.395706762</v>
      </c>
      <c r="I1292" t="inlineStr">
        <is>
          <t>C1</t>
        </is>
      </c>
      <c r="J1292" t="n">
        <v>32.52305238</v>
      </c>
      <c r="K1292" t="inlineStr"/>
      <c r="L1292" t="n">
        <v>0.36119</v>
      </c>
      <c r="M1292" t="n">
        <v>0.931034653</v>
      </c>
      <c r="N1292" t="inlineStr">
        <is>
          <t>Yes</t>
        </is>
      </c>
      <c r="O1292" t="inlineStr">
        <is>
          <t>improve</t>
        </is>
      </c>
      <c r="P1292" t="inlineStr">
        <is>
          <t>different</t>
        </is>
      </c>
      <c r="Q1292" t="inlineStr"/>
      <c r="R1292" t="inlineStr"/>
      <c r="S1292">
        <f>HYPERLINK("https://helical-indexing-hi3d.streamlit.app/?emd_id=emd-8058&amp;rise=40.36994031&amp;twist=-0.395706762&amp;csym=1&amp;rise2=8.648646&amp;twist2=-25.719666&amp;csym2=1", "Link")</f>
        <v/>
      </c>
    </row>
    <row r="1293">
      <c r="A1293" t="inlineStr">
        <is>
          <t>EMD-8851</t>
        </is>
      </c>
      <c r="B1293" t="inlineStr">
        <is>
          <t>non-amyloid</t>
        </is>
      </c>
      <c r="C1293" t="n">
        <v>6.7</v>
      </c>
      <c r="D1293" t="n">
        <v>4.68</v>
      </c>
      <c r="E1293" t="n">
        <v>65.29000000000001</v>
      </c>
      <c r="F1293" t="inlineStr">
        <is>
          <t>C1</t>
        </is>
      </c>
      <c r="G1293" t="inlineStr">
        <is>
          <t>4.68</t>
        </is>
      </c>
      <c r="H1293" t="n">
        <v>65.29000000000001</v>
      </c>
      <c r="I1293" t="inlineStr">
        <is>
          <t>C1</t>
        </is>
      </c>
      <c r="J1293" t="n">
        <v>0</v>
      </c>
      <c r="K1293" t="inlineStr"/>
      <c r="L1293" t="n">
        <v>0.99854</v>
      </c>
      <c r="M1293" t="n">
        <v>0.99854</v>
      </c>
      <c r="N1293" t="inlineStr">
        <is>
          <t>Yes</t>
        </is>
      </c>
      <c r="O1293" t="inlineStr">
        <is>
          <t>equal</t>
        </is>
      </c>
      <c r="P1293" t="inlineStr">
        <is>
          <t>deposited</t>
        </is>
      </c>
      <c r="Q1293" t="inlineStr"/>
      <c r="R1293" t="inlineStr"/>
      <c r="S1293">
        <f>HYPERLINK("https://helical-indexing-hi3d.streamlit.app/?emd_id=emd-8851&amp;rise=4.68&amp;twist=65.29&amp;csym=1&amp;rise2=4.68&amp;twist2=65.29&amp;csym2=1", "Link")</f>
        <v/>
      </c>
    </row>
    <row r="1294">
      <c r="A1294" t="inlineStr">
        <is>
          <t>EMD-34080</t>
        </is>
      </c>
      <c r="B1294" t="inlineStr">
        <is>
          <t>non-amyloid</t>
        </is>
      </c>
      <c r="C1294" t="n">
        <v>6.8</v>
      </c>
      <c r="D1294" t="n">
        <v>17.92</v>
      </c>
      <c r="E1294" t="n">
        <v>22.71</v>
      </c>
      <c r="F1294" t="inlineStr">
        <is>
          <t>C1</t>
        </is>
      </c>
      <c r="G1294" t="inlineStr">
        <is>
          <t>8.939301041</t>
        </is>
      </c>
      <c r="H1294" t="n">
        <v>-78.64545404</v>
      </c>
      <c r="I1294" t="inlineStr">
        <is>
          <t>C1</t>
        </is>
      </c>
      <c r="J1294" t="n">
        <v>112.7210654570871</v>
      </c>
      <c r="K1294" t="inlineStr"/>
      <c r="L1294" t="n">
        <v>0.944059841</v>
      </c>
      <c r="M1294" t="n">
        <v>0.945320986</v>
      </c>
      <c r="N1294" t="inlineStr">
        <is>
          <t>Yes</t>
        </is>
      </c>
      <c r="O1294" t="inlineStr">
        <is>
          <t>improve</t>
        </is>
      </c>
      <c r="P1294" t="inlineStr">
        <is>
          <t>different</t>
        </is>
      </c>
      <c r="Q1294" t="inlineStr"/>
      <c r="R1294" t="inlineStr"/>
      <c r="S1294">
        <f>HYPERLINK("https://helical-indexing-hi3d.streamlit.app/?emd_id=emd-34080&amp;rise=8.939301041&amp;twist=-78.64545404&amp;csym=1&amp;rise2=17.92&amp;twist2=22.71&amp;csym2=1", "Link")</f>
        <v/>
      </c>
    </row>
    <row r="1295">
      <c r="A1295" t="inlineStr">
        <is>
          <t>EMD-20243</t>
        </is>
      </c>
      <c r="B1295" t="inlineStr">
        <is>
          <t>non-amyloid</t>
        </is>
      </c>
      <c r="C1295" t="n">
        <v>6.8</v>
      </c>
      <c r="D1295" t="n">
        <v>42.8</v>
      </c>
      <c r="E1295" t="n">
        <v>17.5</v>
      </c>
      <c r="F1295" t="inlineStr">
        <is>
          <t>C6</t>
        </is>
      </c>
      <c r="G1295" t="inlineStr">
        <is>
          <t>42.8</t>
        </is>
      </c>
      <c r="H1295" t="n">
        <v>17.5</v>
      </c>
      <c r="I1295" t="inlineStr">
        <is>
          <t>C6</t>
        </is>
      </c>
      <c r="J1295" t="n">
        <v>0</v>
      </c>
      <c r="K1295" t="inlineStr"/>
      <c r="L1295" t="n">
        <v>0.96823</v>
      </c>
      <c r="M1295" t="n">
        <v>0.96823</v>
      </c>
      <c r="N1295" t="inlineStr">
        <is>
          <t>Yes</t>
        </is>
      </c>
      <c r="O1295" t="inlineStr">
        <is>
          <t>equal</t>
        </is>
      </c>
      <c r="P1295" t="inlineStr">
        <is>
          <t>deposited</t>
        </is>
      </c>
      <c r="Q1295" t="inlineStr"/>
      <c r="R1295" t="inlineStr"/>
      <c r="S1295">
        <f>HYPERLINK("https://helical-indexing-hi3d.streamlit.app/?emd_id=emd-20243&amp;rise=42.8&amp;twist=17.5&amp;csym=6&amp;rise2=42.8&amp;twist2=17.5&amp;csym2=6", "Link")</f>
        <v/>
      </c>
    </row>
    <row r="1296">
      <c r="A1296" t="inlineStr">
        <is>
          <t>EMD-26984</t>
        </is>
      </c>
      <c r="B1296" t="inlineStr">
        <is>
          <t>non-amyloid</t>
        </is>
      </c>
      <c r="C1296" t="n">
        <v>6.8</v>
      </c>
      <c r="D1296" t="n">
        <v>8.039999999999999</v>
      </c>
      <c r="E1296" t="n">
        <v>128.619</v>
      </c>
      <c r="F1296" t="inlineStr">
        <is>
          <t>C1</t>
        </is>
      </c>
      <c r="G1296" t="inlineStr">
        <is>
          <t>8.059310247</t>
        </is>
      </c>
      <c r="H1296" t="n">
        <v>-128.7142857</v>
      </c>
      <c r="I1296" t="inlineStr">
        <is>
          <t>C1</t>
        </is>
      </c>
      <c r="J1296" t="n">
        <v>47.84854559398786</v>
      </c>
      <c r="K1296" t="inlineStr">
        <is>
          <t> </t>
        </is>
      </c>
      <c r="L1296" t="n">
        <v>0.333577599</v>
      </c>
      <c r="M1296" t="n">
        <v>0.756550194</v>
      </c>
      <c r="N1296" t="inlineStr">
        <is>
          <t>Yes</t>
        </is>
      </c>
      <c r="O1296" t="inlineStr">
        <is>
          <t>improve</t>
        </is>
      </c>
      <c r="P1296" t="inlineStr">
        <is>
          <t>twist sign</t>
        </is>
      </c>
      <c r="Q1296" t="inlineStr"/>
      <c r="R1296" t="inlineStr"/>
      <c r="S1296">
        <f>HYPERLINK("https://helical-indexing-hi3d.streamlit.app/?emd_id=emd-26984&amp;rise=8.059310247&amp;twist=-128.7142857&amp;csym=1&amp;rise2=8.04&amp;twist2=128.619&amp;csym2=1", "Link")</f>
        <v/>
      </c>
    </row>
    <row r="1297">
      <c r="A1297" t="inlineStr">
        <is>
          <t>EMD-15498</t>
        </is>
      </c>
      <c r="B1297" t="inlineStr">
        <is>
          <t>non-amyloid</t>
        </is>
      </c>
      <c r="C1297" t="n">
        <v>6.9</v>
      </c>
      <c r="D1297" t="n">
        <v>1.53</v>
      </c>
      <c r="E1297" t="n">
        <v>-140.3</v>
      </c>
      <c r="F1297" t="inlineStr">
        <is>
          <t>C1</t>
        </is>
      </c>
      <c r="G1297" t="inlineStr">
        <is>
          <t>1.528570283</t>
        </is>
      </c>
      <c r="H1297" t="n">
        <v>-140.2545215</v>
      </c>
      <c r="I1297" t="inlineStr">
        <is>
          <t>C1</t>
        </is>
      </c>
      <c r="J1297" t="n">
        <v>0.017203405</v>
      </c>
      <c r="K1297" t="inlineStr"/>
      <c r="L1297" t="n">
        <v>0.798109269</v>
      </c>
      <c r="M1297" t="n">
        <v>0.847473531</v>
      </c>
      <c r="N1297" t="inlineStr">
        <is>
          <t>Yes</t>
        </is>
      </c>
      <c r="O1297" t="inlineStr">
        <is>
          <t>improve</t>
        </is>
      </c>
      <c r="P1297" t="inlineStr">
        <is>
          <t>adjusted decimals</t>
        </is>
      </c>
      <c r="Q1297" t="inlineStr"/>
      <c r="R1297" t="inlineStr"/>
      <c r="S1297">
        <f>HYPERLINK("https://helical-indexing-hi3d.streamlit.app/?emd_id=emd-15498&amp;rise=1.528570283&amp;twist=-140.2545215&amp;csym=1&amp;rise2=1.53&amp;twist2=-140.3&amp;csym2=1", "Link")</f>
        <v/>
      </c>
    </row>
    <row r="1298">
      <c r="A1298" t="inlineStr">
        <is>
          <t>EMD-15499</t>
        </is>
      </c>
      <c r="B1298" t="inlineStr">
        <is>
          <t>non-amyloid</t>
        </is>
      </c>
      <c r="C1298" t="n">
        <v>6.9</v>
      </c>
      <c r="D1298" t="n">
        <v>3.95</v>
      </c>
      <c r="E1298" t="n">
        <v>-52</v>
      </c>
      <c r="F1298" t="inlineStr">
        <is>
          <t>C3</t>
        </is>
      </c>
      <c r="G1298" t="inlineStr">
        <is>
          <t>3.95</t>
        </is>
      </c>
      <c r="H1298" t="n">
        <v>-52</v>
      </c>
      <c r="I1298" t="inlineStr">
        <is>
          <t>C3</t>
        </is>
      </c>
      <c r="J1298" t="n">
        <v>0</v>
      </c>
      <c r="K1298" t="inlineStr"/>
      <c r="L1298" t="n">
        <v>0.837606294</v>
      </c>
      <c r="M1298" t="n">
        <v>0.837606294</v>
      </c>
      <c r="N1298" t="inlineStr">
        <is>
          <t>Yes</t>
        </is>
      </c>
      <c r="O1298" t="inlineStr">
        <is>
          <t>equal</t>
        </is>
      </c>
      <c r="P1298" t="inlineStr">
        <is>
          <t>deposited</t>
        </is>
      </c>
      <c r="Q1298" t="inlineStr"/>
      <c r="R1298" t="inlineStr"/>
      <c r="S1298">
        <f>HYPERLINK("https://helical-indexing-hi3d.streamlit.app/?emd_id=emd-15499&amp;rise=3.95&amp;twist=-52.0&amp;csym=3&amp;rise2=3.95&amp;twist2=-52.0&amp;csym2=3", "Link")</f>
        <v/>
      </c>
    </row>
    <row r="1299">
      <c r="A1299" t="inlineStr">
        <is>
          <t>EMD-5762</t>
        </is>
      </c>
      <c r="B1299" t="inlineStr">
        <is>
          <t>non-amyloid</t>
        </is>
      </c>
      <c r="C1299" t="n">
        <v>6.9</v>
      </c>
      <c r="D1299" t="n">
        <v>43.54512</v>
      </c>
      <c r="E1299" t="n">
        <v>31.78843</v>
      </c>
      <c r="F1299" t="inlineStr"/>
      <c r="G1299" t="inlineStr">
        <is>
          <t>43.54512</t>
        </is>
      </c>
      <c r="H1299" t="n">
        <v>31.78843</v>
      </c>
      <c r="I1299" t="inlineStr">
        <is>
          <t>Cnan</t>
        </is>
      </c>
      <c r="J1299" t="n">
        <v>0</v>
      </c>
      <c r="K1299" t="inlineStr"/>
      <c r="L1299" t="n">
        <v>0.98875</v>
      </c>
      <c r="M1299" t="n">
        <v>0.98875</v>
      </c>
      <c r="N1299" t="inlineStr">
        <is>
          <t>Yes</t>
        </is>
      </c>
      <c r="O1299" t="inlineStr">
        <is>
          <t>equal</t>
        </is>
      </c>
      <c r="P1299" t="inlineStr">
        <is>
          <t>deposited</t>
        </is>
      </c>
      <c r="Q1299" t="inlineStr"/>
      <c r="R1299" t="inlineStr"/>
      <c r="S1299" t="inlineStr"/>
    </row>
    <row r="1300">
      <c r="A1300" t="inlineStr">
        <is>
          <t>EMD-9018</t>
        </is>
      </c>
      <c r="B1300" t="inlineStr">
        <is>
          <t>non-amyloid</t>
        </is>
      </c>
      <c r="C1300" t="n">
        <v>6.9</v>
      </c>
      <c r="D1300" t="n">
        <v>5.07952</v>
      </c>
      <c r="E1300" t="n">
        <v>77.6764</v>
      </c>
      <c r="F1300" t="inlineStr">
        <is>
          <t>C1</t>
        </is>
      </c>
      <c r="G1300" t="inlineStr">
        <is>
          <t>5.07952</t>
        </is>
      </c>
      <c r="H1300" t="n">
        <v>77.6764</v>
      </c>
      <c r="I1300" t="inlineStr">
        <is>
          <t>C1</t>
        </is>
      </c>
      <c r="J1300" t="n">
        <v>0</v>
      </c>
      <c r="K1300" t="inlineStr"/>
      <c r="L1300" t="n">
        <v>0.94563</v>
      </c>
      <c r="M1300" t="n">
        <v>0.94563</v>
      </c>
      <c r="N1300" t="inlineStr">
        <is>
          <t>Yes</t>
        </is>
      </c>
      <c r="O1300" t="inlineStr">
        <is>
          <t>equal</t>
        </is>
      </c>
      <c r="P1300" t="inlineStr">
        <is>
          <t>deposited</t>
        </is>
      </c>
      <c r="Q1300" t="inlineStr"/>
      <c r="R1300" t="inlineStr"/>
      <c r="S1300">
        <f>HYPERLINK("https://helical-indexing-hi3d.streamlit.app/?emd_id=emd-9018&amp;rise=5.07952&amp;twist=77.6764&amp;csym=1&amp;rise2=5.07952&amp;twist2=77.6764&amp;csym2=1", "Link")</f>
        <v/>
      </c>
    </row>
    <row r="1301">
      <c r="A1301" t="inlineStr">
        <is>
          <t>EMD-2799</t>
        </is>
      </c>
      <c r="B1301" t="inlineStr">
        <is>
          <t>non-amyloid</t>
        </is>
      </c>
      <c r="C1301" t="n">
        <v>6.9</v>
      </c>
      <c r="D1301" t="n">
        <v>22.2</v>
      </c>
      <c r="E1301" t="n">
        <v>54.3</v>
      </c>
      <c r="F1301" t="inlineStr">
        <is>
          <t>C1</t>
        </is>
      </c>
      <c r="G1301" t="inlineStr">
        <is>
          <t>18.8</t>
        </is>
      </c>
      <c r="H1301" t="n">
        <v>-55.4</v>
      </c>
      <c r="I1301" t="inlineStr">
        <is>
          <t>C1</t>
        </is>
      </c>
      <c r="J1301" t="n">
        <v>69.74747276697816</v>
      </c>
      <c r="K1301" t="inlineStr">
        <is>
          <t> </t>
        </is>
      </c>
      <c r="L1301" t="n">
        <v>0.26515</v>
      </c>
      <c r="M1301" t="n">
        <v>0.970377202</v>
      </c>
      <c r="N1301" t="inlineStr">
        <is>
          <t>Yes</t>
        </is>
      </c>
      <c r="O1301" t="inlineStr">
        <is>
          <t>improve</t>
        </is>
      </c>
      <c r="P1301" t="inlineStr">
        <is>
          <t>paper mismatch</t>
        </is>
      </c>
      <c r="Q1301" t="inlineStr"/>
      <c r="R1301" t="inlineStr"/>
      <c r="S1301">
        <f>HYPERLINK("https://helical-indexing-hi3d.streamlit.app/?emd_id=emd-2799&amp;rise=18.8&amp;twist=-55.4&amp;csym=1&amp;rise2=22.2&amp;twist2=54.3&amp;csym2=1", "Link")</f>
        <v/>
      </c>
    </row>
    <row r="1302">
      <c r="A1302" t="inlineStr">
        <is>
          <t>EMD-8886</t>
        </is>
      </c>
      <c r="B1302" t="inlineStr">
        <is>
          <t>non-amyloid</t>
        </is>
      </c>
      <c r="C1302" t="n">
        <v>7</v>
      </c>
      <c r="D1302" t="n">
        <v>27.25</v>
      </c>
      <c r="E1302" t="n">
        <v>-166.87</v>
      </c>
      <c r="F1302" t="inlineStr">
        <is>
          <t>C1</t>
        </is>
      </c>
      <c r="G1302" t="inlineStr">
        <is>
          <t>27.25</t>
        </is>
      </c>
      <c r="H1302" t="n">
        <v>-166.87</v>
      </c>
      <c r="I1302" t="inlineStr">
        <is>
          <t>C1</t>
        </is>
      </c>
      <c r="J1302" t="n">
        <v>0</v>
      </c>
      <c r="K1302" t="inlineStr"/>
      <c r="L1302" t="n">
        <v>0.99707</v>
      </c>
      <c r="M1302" t="n">
        <v>0.99707</v>
      </c>
      <c r="N1302" t="inlineStr">
        <is>
          <t>Yes</t>
        </is>
      </c>
      <c r="O1302" t="inlineStr">
        <is>
          <t>equal</t>
        </is>
      </c>
      <c r="P1302" t="inlineStr">
        <is>
          <t>deposited</t>
        </is>
      </c>
      <c r="Q1302" t="inlineStr"/>
      <c r="R1302" t="inlineStr"/>
      <c r="S1302">
        <f>HYPERLINK("https://helical-indexing-hi3d.streamlit.app/?emd_id=emd-8886&amp;rise=27.25&amp;twist=-166.87&amp;csym=1&amp;rise2=27.25&amp;twist2=-166.87&amp;csym2=1", "Link")</f>
        <v/>
      </c>
    </row>
    <row r="1303">
      <c r="A1303" t="inlineStr">
        <is>
          <t>EMD-27626</t>
        </is>
      </c>
      <c r="B1303" t="inlineStr">
        <is>
          <t>non-amyloid</t>
        </is>
      </c>
      <c r="C1303" t="n">
        <v>7</v>
      </c>
      <c r="D1303" t="n">
        <v>6.95455</v>
      </c>
      <c r="E1303" t="n">
        <v>82.5822</v>
      </c>
      <c r="F1303" t="inlineStr">
        <is>
          <t>C1</t>
        </is>
      </c>
      <c r="G1303" t="inlineStr">
        <is>
          <t>6.93894515</t>
        </is>
      </c>
      <c r="H1303" t="n">
        <v>-82.57909318999999</v>
      </c>
      <c r="I1303" t="inlineStr">
        <is>
          <t>C1</t>
        </is>
      </c>
      <c r="J1303" t="n">
        <v>19.34932542656367</v>
      </c>
      <c r="K1303" t="inlineStr">
        <is>
          <t> </t>
        </is>
      </c>
      <c r="L1303" t="n">
        <v>0.50661</v>
      </c>
      <c r="M1303" t="n">
        <v>0.942095478</v>
      </c>
      <c r="N1303" t="inlineStr">
        <is>
          <t>Yes</t>
        </is>
      </c>
      <c r="O1303" t="inlineStr">
        <is>
          <t>improve</t>
        </is>
      </c>
      <c r="P1303" t="inlineStr">
        <is>
          <t>twist sign</t>
        </is>
      </c>
      <c r="Q1303" t="inlineStr"/>
      <c r="R1303" t="inlineStr"/>
      <c r="S1303">
        <f>HYPERLINK("https://helical-indexing-hi3d.streamlit.app/?emd_id=emd-27626&amp;rise=6.93894515&amp;twist=-82.57909319&amp;csym=1&amp;rise2=6.95455&amp;twist2=82.5822&amp;csym2=1", "Link")</f>
        <v/>
      </c>
    </row>
    <row r="1304">
      <c r="A1304" t="inlineStr">
        <is>
          <t>EMD-27625</t>
        </is>
      </c>
      <c r="B1304" t="inlineStr">
        <is>
          <t>non-amyloid</t>
        </is>
      </c>
      <c r="C1304" t="n">
        <v>7</v>
      </c>
      <c r="D1304" t="n">
        <v>6.95455</v>
      </c>
      <c r="E1304" t="n">
        <v>82.5822</v>
      </c>
      <c r="F1304" t="inlineStr">
        <is>
          <t>C1</t>
        </is>
      </c>
      <c r="G1304" t="inlineStr">
        <is>
          <t>6.936498546</t>
        </is>
      </c>
      <c r="H1304" t="n">
        <v>-82.57902194</v>
      </c>
      <c r="I1304" t="inlineStr">
        <is>
          <t>C1</t>
        </is>
      </c>
      <c r="J1304" t="n">
        <v>17.42722578280695</v>
      </c>
      <c r="K1304" t="inlineStr">
        <is>
          <t> </t>
        </is>
      </c>
      <c r="L1304" t="n">
        <v>0.48844</v>
      </c>
      <c r="M1304" t="n">
        <v>0.943219661</v>
      </c>
      <c r="N1304" t="inlineStr">
        <is>
          <t>Yes</t>
        </is>
      </c>
      <c r="O1304" t="inlineStr">
        <is>
          <t>improve</t>
        </is>
      </c>
      <c r="P1304" t="inlineStr">
        <is>
          <t>twist sign</t>
        </is>
      </c>
      <c r="Q1304" t="inlineStr"/>
      <c r="R1304" t="inlineStr"/>
      <c r="S1304">
        <f>HYPERLINK("https://helical-indexing-hi3d.streamlit.app/?emd_id=emd-27625&amp;rise=6.936498546&amp;twist=-82.57902194&amp;csym=1&amp;rise2=6.95455&amp;twist2=82.5822&amp;csym2=1", "Link")</f>
        <v/>
      </c>
    </row>
    <row r="1305">
      <c r="A1305" t="inlineStr">
        <is>
          <t>EMD-2090</t>
        </is>
      </c>
      <c r="B1305" t="inlineStr">
        <is>
          <t>non-amyloid</t>
        </is>
      </c>
      <c r="C1305" t="n">
        <v>7</v>
      </c>
      <c r="D1305" t="inlineStr"/>
      <c r="E1305" t="inlineStr"/>
      <c r="F1305" t="inlineStr"/>
      <c r="G1305" t="inlineStr"/>
      <c r="H1305" t="inlineStr"/>
      <c r="I1305" t="inlineStr">
        <is>
          <t>C1</t>
        </is>
      </c>
      <c r="J1305" t="inlineStr"/>
      <c r="K1305" t="inlineStr"/>
      <c r="L1305" t="inlineStr"/>
      <c r="M1305" t="inlineStr"/>
      <c r="N1305" t="inlineStr">
        <is>
          <t>No</t>
        </is>
      </c>
      <c r="O1305" t="inlineStr"/>
      <c r="P1305" t="inlineStr">
        <is>
          <t>single unit</t>
        </is>
      </c>
      <c r="Q1305" t="inlineStr"/>
      <c r="R1305" t="inlineStr"/>
      <c r="S1305" t="inlineStr"/>
    </row>
    <row r="1306">
      <c r="A1306" t="inlineStr">
        <is>
          <t>EMD-8625</t>
        </is>
      </c>
      <c r="B1306" t="inlineStr">
        <is>
          <t>non-amyloid</t>
        </is>
      </c>
      <c r="C1306" t="n">
        <v>7</v>
      </c>
      <c r="D1306" t="n">
        <v>15.5</v>
      </c>
      <c r="E1306" t="n">
        <v>-26.8</v>
      </c>
      <c r="F1306" t="inlineStr">
        <is>
          <t>C6</t>
        </is>
      </c>
      <c r="G1306" t="inlineStr">
        <is>
          <t>15.70205071</t>
        </is>
      </c>
      <c r="H1306" t="n">
        <v>-26.70675918</v>
      </c>
      <c r="I1306" t="inlineStr">
        <is>
          <t>C6</t>
        </is>
      </c>
      <c r="J1306" t="n">
        <v>0.2074466630043765</v>
      </c>
      <c r="K1306" t="inlineStr"/>
      <c r="L1306" t="n">
        <v>0.99472</v>
      </c>
      <c r="M1306" t="n">
        <v>0.9987978280000001</v>
      </c>
      <c r="N1306" t="inlineStr">
        <is>
          <t>Yes</t>
        </is>
      </c>
      <c r="O1306" t="inlineStr">
        <is>
          <t>improve</t>
        </is>
      </c>
      <c r="P1306" t="inlineStr">
        <is>
          <t>adjusted decimals</t>
        </is>
      </c>
      <c r="Q1306" t="inlineStr"/>
      <c r="R1306" t="inlineStr"/>
      <c r="S1306">
        <f>HYPERLINK("https://helical-indexing-hi3d.streamlit.app/?emd_id=emd-8625&amp;rise=15.70205071&amp;twist=-26.70675918&amp;csym=6&amp;rise2=15.5&amp;twist2=-26.8&amp;csym2=6", "Link")</f>
        <v/>
      </c>
    </row>
    <row r="1307">
      <c r="A1307" t="inlineStr">
        <is>
          <t>EMD-27629</t>
        </is>
      </c>
      <c r="B1307" t="inlineStr">
        <is>
          <t>non-amyloid</t>
        </is>
      </c>
      <c r="C1307" t="n">
        <v>7</v>
      </c>
      <c r="D1307" t="n">
        <v>6.95455</v>
      </c>
      <c r="E1307" t="n">
        <v>82.5822</v>
      </c>
      <c r="F1307" t="inlineStr">
        <is>
          <t>C1</t>
        </is>
      </c>
      <c r="G1307" t="inlineStr">
        <is>
          <t>6.935299654</t>
        </is>
      </c>
      <c r="H1307" t="n">
        <v>-82.57854407000001</v>
      </c>
      <c r="I1307" t="inlineStr">
        <is>
          <t>C1</t>
        </is>
      </c>
      <c r="J1307" t="n">
        <v>19.47554792406121</v>
      </c>
      <c r="K1307" t="inlineStr">
        <is>
          <t> </t>
        </is>
      </c>
      <c r="L1307" t="n">
        <v>0.50562</v>
      </c>
      <c r="M1307" t="n">
        <v>0.928634174</v>
      </c>
      <c r="N1307" t="inlineStr">
        <is>
          <t>Yes</t>
        </is>
      </c>
      <c r="O1307" t="inlineStr">
        <is>
          <t>improve</t>
        </is>
      </c>
      <c r="P1307" t="inlineStr">
        <is>
          <t>twist sign</t>
        </is>
      </c>
      <c r="Q1307" t="inlineStr"/>
      <c r="R1307" t="inlineStr"/>
      <c r="S1307">
        <f>HYPERLINK("https://helical-indexing-hi3d.streamlit.app/?emd_id=emd-27629&amp;rise=6.935299654&amp;twist=-82.57854407&amp;csym=1&amp;rise2=6.95455&amp;twist2=82.5822&amp;csym2=1", "Link")</f>
        <v/>
      </c>
    </row>
    <row r="1308">
      <c r="A1308" t="inlineStr">
        <is>
          <t>EMD-25154</t>
        </is>
      </c>
      <c r="B1308" t="inlineStr">
        <is>
          <t>non-amyloid</t>
        </is>
      </c>
      <c r="C1308" t="n">
        <v>7</v>
      </c>
      <c r="D1308" t="n">
        <v>18.89</v>
      </c>
      <c r="E1308" t="n">
        <v>27.13</v>
      </c>
      <c r="F1308" t="inlineStr">
        <is>
          <t>C6</t>
        </is>
      </c>
      <c r="G1308" t="inlineStr">
        <is>
          <t>18.90369051</t>
        </is>
      </c>
      <c r="H1308" t="n">
        <v>-27.14141579</v>
      </c>
      <c r="I1308" t="inlineStr">
        <is>
          <t>C6</t>
        </is>
      </c>
      <c r="J1308" t="n">
        <v>2.202174781445556</v>
      </c>
      <c r="K1308" t="inlineStr">
        <is>
          <t> </t>
        </is>
      </c>
      <c r="L1308" t="n">
        <v>0.43782</v>
      </c>
      <c r="M1308" t="n">
        <v>0.93702991</v>
      </c>
      <c r="N1308" t="inlineStr">
        <is>
          <t>Yes</t>
        </is>
      </c>
      <c r="O1308" t="inlineStr">
        <is>
          <t>improve</t>
        </is>
      </c>
      <c r="P1308" t="inlineStr">
        <is>
          <t>twist sign</t>
        </is>
      </c>
      <c r="Q1308" t="inlineStr"/>
      <c r="R1308" t="inlineStr"/>
      <c r="S1308">
        <f>HYPERLINK("https://helical-indexing-hi3d.streamlit.app/?emd_id=emd-25154&amp;rise=18.90369051&amp;twist=-27.14141579&amp;csym=6&amp;rise2=18.89&amp;twist2=27.13&amp;csym2=6", "Link")</f>
        <v/>
      </c>
    </row>
    <row r="1309">
      <c r="A1309" t="inlineStr">
        <is>
          <t>EMD-25155</t>
        </is>
      </c>
      <c r="B1309" t="inlineStr">
        <is>
          <t>non-amyloid</t>
        </is>
      </c>
      <c r="C1309" t="n">
        <v>7</v>
      </c>
      <c r="D1309" t="n">
        <v>41.53</v>
      </c>
      <c r="E1309" t="n">
        <v>20.57</v>
      </c>
      <c r="F1309" t="inlineStr">
        <is>
          <t>C6</t>
        </is>
      </c>
      <c r="G1309" t="inlineStr">
        <is>
          <t>41.53</t>
        </is>
      </c>
      <c r="H1309" t="n">
        <v>20.57</v>
      </c>
      <c r="I1309" t="inlineStr">
        <is>
          <t>C6</t>
        </is>
      </c>
      <c r="J1309" t="n">
        <v>0</v>
      </c>
      <c r="K1309" t="inlineStr"/>
      <c r="L1309" t="n">
        <v>0.94619</v>
      </c>
      <c r="M1309" t="n">
        <v>0.94619</v>
      </c>
      <c r="N1309" t="inlineStr">
        <is>
          <t>Yes</t>
        </is>
      </c>
      <c r="O1309" t="inlineStr">
        <is>
          <t>equal</t>
        </is>
      </c>
      <c r="P1309" t="inlineStr">
        <is>
          <t>deposited</t>
        </is>
      </c>
      <c r="Q1309" t="inlineStr"/>
      <c r="R1309" t="inlineStr"/>
      <c r="S1309">
        <f>HYPERLINK("https://helical-indexing-hi3d.streamlit.app/?emd_id=emd-25155&amp;rise=41.53&amp;twist=20.57&amp;csym=6&amp;rise2=41.53&amp;twist2=20.57&amp;csym2=6", "Link")</f>
        <v/>
      </c>
    </row>
    <row r="1310">
      <c r="A1310" t="inlineStr">
        <is>
          <t>EMD-9538</t>
        </is>
      </c>
      <c r="B1310" t="inlineStr">
        <is>
          <t>non-amyloid</t>
        </is>
      </c>
      <c r="C1310" t="n">
        <v>7</v>
      </c>
      <c r="D1310" t="n">
        <v>8.727751</v>
      </c>
      <c r="E1310" t="n">
        <v>-25.71762</v>
      </c>
      <c r="F1310" t="inlineStr">
        <is>
          <t>C1</t>
        </is>
      </c>
      <c r="G1310" t="inlineStr"/>
      <c r="H1310" t="inlineStr"/>
      <c r="I1310" t="inlineStr">
        <is>
          <t>C1</t>
        </is>
      </c>
      <c r="J1310" t="inlineStr"/>
      <c r="K1310" t="inlineStr"/>
      <c r="L1310" t="n">
        <v>0.54093</v>
      </c>
      <c r="M1310" t="inlineStr"/>
      <c r="N1310" t="inlineStr">
        <is>
          <t>Excluded</t>
        </is>
      </c>
      <c r="O1310" t="inlineStr">
        <is>
          <t>worse</t>
        </is>
      </c>
      <c r="P1310" t="inlineStr">
        <is>
          <t>partial map</t>
        </is>
      </c>
      <c r="Q1310" t="inlineStr"/>
      <c r="R1310" t="inlineStr"/>
      <c r="S1310">
        <f>HYPERLINK("https://helical-indexing-hi3d.streamlit.app/?emd_id=emd-9538&amp;rise=nan&amp;twist=nan&amp;csym=1&amp;rise2=8.727751&amp;twist2=-25.71762&amp;csym2=1", "Link")</f>
        <v/>
      </c>
    </row>
    <row r="1311">
      <c r="A1311" t="inlineStr">
        <is>
          <t>EMD-25657</t>
        </is>
      </c>
      <c r="B1311" t="inlineStr">
        <is>
          <t>non-amyloid</t>
        </is>
      </c>
      <c r="C1311" t="n">
        <v>7</v>
      </c>
      <c r="D1311" t="n">
        <v>6.95455</v>
      </c>
      <c r="E1311" t="n">
        <v>82.5822</v>
      </c>
      <c r="F1311" t="inlineStr">
        <is>
          <t>C1</t>
        </is>
      </c>
      <c r="G1311" t="inlineStr">
        <is>
          <t>6.943885311</t>
        </is>
      </c>
      <c r="H1311" t="n">
        <v>-82.5836403</v>
      </c>
      <c r="I1311" t="inlineStr">
        <is>
          <t>C1</t>
        </is>
      </c>
      <c r="J1311" t="n">
        <v>17.44688326759453</v>
      </c>
      <c r="K1311" t="inlineStr">
        <is>
          <t> </t>
        </is>
      </c>
      <c r="L1311" t="n">
        <v>0.3964</v>
      </c>
      <c r="M1311" t="n">
        <v>0.942112843</v>
      </c>
      <c r="N1311" t="inlineStr">
        <is>
          <t>Yes</t>
        </is>
      </c>
      <c r="O1311" t="inlineStr">
        <is>
          <t>improve</t>
        </is>
      </c>
      <c r="P1311" t="inlineStr">
        <is>
          <t>twist sign</t>
        </is>
      </c>
      <c r="Q1311" t="inlineStr"/>
      <c r="R1311" t="inlineStr"/>
      <c r="S1311">
        <f>HYPERLINK("https://helical-indexing-hi3d.streamlit.app/?emd_id=emd-25657&amp;rise=6.943885311&amp;twist=-82.5836403&amp;csym=1&amp;rise2=6.95455&amp;twist2=82.5822&amp;csym2=1", "Link")</f>
        <v/>
      </c>
    </row>
    <row r="1312">
      <c r="A1312" t="inlineStr">
        <is>
          <t>EMD-1647</t>
        </is>
      </c>
      <c r="B1312" t="inlineStr">
        <is>
          <t>non-amyloid</t>
        </is>
      </c>
      <c r="C1312" t="n">
        <v>7.1</v>
      </c>
      <c r="D1312" t="n">
        <v>4.12</v>
      </c>
      <c r="E1312" t="n">
        <v>64.78</v>
      </c>
      <c r="F1312" t="inlineStr"/>
      <c r="G1312" t="inlineStr">
        <is>
          <t>4.12</t>
        </is>
      </c>
      <c r="H1312" t="n">
        <v>64.78</v>
      </c>
      <c r="I1312" t="inlineStr">
        <is>
          <t>Cnan</t>
        </is>
      </c>
      <c r="J1312" t="n">
        <v>0</v>
      </c>
      <c r="K1312" t="inlineStr"/>
      <c r="L1312" t="n">
        <v>0.99549</v>
      </c>
      <c r="M1312" t="n">
        <v>0.99549</v>
      </c>
      <c r="N1312" t="inlineStr">
        <is>
          <t>Yes</t>
        </is>
      </c>
      <c r="O1312" t="inlineStr">
        <is>
          <t>equal</t>
        </is>
      </c>
      <c r="P1312" t="inlineStr">
        <is>
          <t>deposited</t>
        </is>
      </c>
      <c r="Q1312" t="inlineStr"/>
      <c r="R1312" t="inlineStr"/>
      <c r="S1312" t="inlineStr"/>
    </row>
    <row r="1313">
      <c r="A1313" t="inlineStr">
        <is>
          <t>EMD-5783</t>
        </is>
      </c>
      <c r="B1313" t="inlineStr">
        <is>
          <t>non-amyloid</t>
        </is>
      </c>
      <c r="C1313" t="n">
        <v>7.1</v>
      </c>
      <c r="D1313" t="n">
        <v>14.4</v>
      </c>
      <c r="E1313" t="n">
        <v>116.4</v>
      </c>
      <c r="F1313" t="inlineStr"/>
      <c r="G1313" t="inlineStr">
        <is>
          <t>14.38</t>
        </is>
      </c>
      <c r="H1313" t="n">
        <v>-116.4</v>
      </c>
      <c r="I1313" t="inlineStr">
        <is>
          <t>Cnan</t>
        </is>
      </c>
      <c r="J1313" t="n">
        <v>12.68706913540327</v>
      </c>
      <c r="K1313" t="inlineStr"/>
      <c r="L1313" t="n">
        <v>0.11602</v>
      </c>
      <c r="M1313" t="n">
        <v>0.89462</v>
      </c>
      <c r="N1313" t="inlineStr">
        <is>
          <t>Yes</t>
        </is>
      </c>
      <c r="O1313" t="inlineStr">
        <is>
          <t>improve</t>
        </is>
      </c>
      <c r="P1313" t="inlineStr">
        <is>
          <t>twist sign</t>
        </is>
      </c>
      <c r="Q1313" t="inlineStr"/>
      <c r="R1313" t="inlineStr"/>
      <c r="S1313" t="inlineStr"/>
    </row>
    <row r="1314">
      <c r="A1314" t="inlineStr">
        <is>
          <t>EMD-12733</t>
        </is>
      </c>
      <c r="B1314" t="inlineStr">
        <is>
          <t>non-amyloid</t>
        </is>
      </c>
      <c r="C1314" t="n">
        <v>7.15</v>
      </c>
      <c r="D1314" t="n">
        <v>4.425</v>
      </c>
      <c r="E1314" t="n">
        <v>26.629</v>
      </c>
      <c r="F1314" t="inlineStr">
        <is>
          <t>C1</t>
        </is>
      </c>
      <c r="G1314" t="inlineStr">
        <is>
          <t>4.425</t>
        </is>
      </c>
      <c r="H1314" t="n">
        <v>26.629</v>
      </c>
      <c r="I1314" t="inlineStr">
        <is>
          <t>C1</t>
        </is>
      </c>
      <c r="J1314" t="n">
        <v>0</v>
      </c>
      <c r="K1314" t="inlineStr"/>
      <c r="L1314" t="n">
        <v>0.97529</v>
      </c>
      <c r="M1314" t="n">
        <v>0.97529</v>
      </c>
      <c r="N1314" t="inlineStr">
        <is>
          <t>Yes</t>
        </is>
      </c>
      <c r="O1314" t="inlineStr">
        <is>
          <t>equal</t>
        </is>
      </c>
      <c r="P1314" t="inlineStr">
        <is>
          <t>deposited</t>
        </is>
      </c>
      <c r="Q1314" t="inlineStr"/>
      <c r="R1314" t="inlineStr"/>
      <c r="S1314">
        <f>HYPERLINK("https://helical-indexing-hi3d.streamlit.app/?emd_id=emd-12733&amp;rise=4.425&amp;twist=26.629&amp;csym=1&amp;rise2=4.425&amp;twist2=26.629&amp;csym2=1", "Link")</f>
        <v/>
      </c>
    </row>
    <row r="1315">
      <c r="A1315" t="inlineStr">
        <is>
          <t>EMD-20591</t>
        </is>
      </c>
      <c r="B1315" t="inlineStr">
        <is>
          <t>non-amyloid</t>
        </is>
      </c>
      <c r="C1315" t="n">
        <v>7.2</v>
      </c>
      <c r="D1315" t="n">
        <v>3</v>
      </c>
      <c r="E1315" t="n">
        <v>26.85</v>
      </c>
      <c r="F1315" t="inlineStr">
        <is>
          <t>C1</t>
        </is>
      </c>
      <c r="G1315" t="inlineStr">
        <is>
          <t>2.998315843</t>
        </is>
      </c>
      <c r="H1315" t="n">
        <v>26.84855263</v>
      </c>
      <c r="I1315" t="inlineStr">
        <is>
          <t>C1</t>
        </is>
      </c>
      <c r="J1315" t="n">
        <v>0.001707598</v>
      </c>
      <c r="K1315" t="inlineStr"/>
      <c r="L1315" t="n">
        <v>0.9608100000000001</v>
      </c>
      <c r="M1315" t="n">
        <v>0.960811606</v>
      </c>
      <c r="N1315" t="inlineStr">
        <is>
          <t>Yes</t>
        </is>
      </c>
      <c r="O1315" t="inlineStr">
        <is>
          <t>improve</t>
        </is>
      </c>
      <c r="P1315" t="inlineStr">
        <is>
          <t>adjusted decimals</t>
        </is>
      </c>
      <c r="Q1315" t="inlineStr"/>
      <c r="R1315" t="inlineStr"/>
      <c r="S1315">
        <f>HYPERLINK("https://helical-indexing-hi3d.streamlit.app/?emd_id=emd-20591&amp;rise=2.998315843&amp;twist=26.84855263&amp;csym=1&amp;rise2=3.0&amp;twist2=26.85&amp;csym2=1", "Link")</f>
        <v/>
      </c>
    </row>
    <row r="1316">
      <c r="A1316" t="inlineStr">
        <is>
          <t>EMD-1980</t>
        </is>
      </c>
      <c r="B1316" t="inlineStr">
        <is>
          <t>non-amyloid</t>
        </is>
      </c>
      <c r="C1316" t="n">
        <v>7.2</v>
      </c>
      <c r="D1316" t="n">
        <v>23.621</v>
      </c>
      <c r="E1316" t="n">
        <v>164.98</v>
      </c>
      <c r="F1316" t="inlineStr"/>
      <c r="G1316" t="inlineStr">
        <is>
          <t>23.621</t>
        </is>
      </c>
      <c r="H1316" t="n">
        <v>164.98</v>
      </c>
      <c r="I1316" t="inlineStr">
        <is>
          <t>Cnan</t>
        </is>
      </c>
      <c r="J1316" t="n">
        <v>0</v>
      </c>
      <c r="K1316" t="inlineStr"/>
      <c r="L1316" t="n">
        <v>0.99794</v>
      </c>
      <c r="M1316" t="n">
        <v>0.99794</v>
      </c>
      <c r="N1316" t="inlineStr">
        <is>
          <t>Yes</t>
        </is>
      </c>
      <c r="O1316" t="inlineStr">
        <is>
          <t>equal</t>
        </is>
      </c>
      <c r="P1316" t="inlineStr">
        <is>
          <t>deposited</t>
        </is>
      </c>
      <c r="Q1316" t="inlineStr"/>
      <c r="R1316" t="inlineStr"/>
      <c r="S1316" t="inlineStr"/>
    </row>
    <row r="1317">
      <c r="A1317" t="inlineStr">
        <is>
          <t>EMD-9637</t>
        </is>
      </c>
      <c r="B1317" t="inlineStr">
        <is>
          <t>microtubule</t>
        </is>
      </c>
      <c r="C1317" t="n">
        <v>7.29</v>
      </c>
      <c r="D1317" t="n">
        <v>8.699999999999999</v>
      </c>
      <c r="E1317" t="n">
        <v>-25.76</v>
      </c>
      <c r="F1317" t="inlineStr">
        <is>
          <t>C1</t>
        </is>
      </c>
      <c r="G1317" t="inlineStr"/>
      <c r="H1317" t="inlineStr"/>
      <c r="I1317" t="inlineStr">
        <is>
          <t>C1</t>
        </is>
      </c>
      <c r="J1317" t="inlineStr"/>
      <c r="K1317" t="inlineStr"/>
      <c r="L1317" t="inlineStr"/>
      <c r="M1317" t="inlineStr"/>
      <c r="N1317" t="inlineStr">
        <is>
          <t>No</t>
        </is>
      </c>
      <c r="O1317" t="inlineStr"/>
      <c r="P1317" t="inlineStr">
        <is>
          <t>single unit</t>
        </is>
      </c>
      <c r="Q1317" t="inlineStr"/>
      <c r="R1317" t="inlineStr"/>
      <c r="S1317">
        <f>HYPERLINK("https://helical-indexing-hi3d.streamlit.app/?emd_id=emd-9637&amp;rise=nan&amp;twist=nan&amp;csym=1&amp;rise2=8.7&amp;twist2=-25.76&amp;csym2=1", "Link")</f>
        <v/>
      </c>
    </row>
    <row r="1318">
      <c r="A1318" t="inlineStr">
        <is>
          <t>EMD-12102</t>
        </is>
      </c>
      <c r="B1318" t="inlineStr">
        <is>
          <t>non-amyloid</t>
        </is>
      </c>
      <c r="C1318" t="n">
        <v>7.3</v>
      </c>
      <c r="D1318" t="n">
        <v>17.3913</v>
      </c>
      <c r="E1318" t="n">
        <v>-158.581</v>
      </c>
      <c r="F1318" t="inlineStr">
        <is>
          <t>C1</t>
        </is>
      </c>
      <c r="G1318" t="inlineStr">
        <is>
          <t>17.23306796</t>
        </is>
      </c>
      <c r="H1318" t="n">
        <v>-158.583983</v>
      </c>
      <c r="I1318" t="inlineStr">
        <is>
          <t>C1</t>
        </is>
      </c>
      <c r="J1318" t="n">
        <v>0.1582328113719931</v>
      </c>
      <c r="K1318" t="inlineStr"/>
      <c r="L1318" t="n">
        <v>0.8393699999999999</v>
      </c>
      <c r="M1318" t="n">
        <v>0.839558483</v>
      </c>
      <c r="N1318" t="inlineStr">
        <is>
          <t>Yes</t>
        </is>
      </c>
      <c r="O1318" t="inlineStr">
        <is>
          <t>improve</t>
        </is>
      </c>
      <c r="P1318" t="inlineStr">
        <is>
          <t>adjusted decimals</t>
        </is>
      </c>
      <c r="Q1318" t="inlineStr"/>
      <c r="R1318" t="inlineStr"/>
      <c r="S1318">
        <f>HYPERLINK("https://helical-indexing-hi3d.streamlit.app/?emd_id=emd-12102&amp;rise=17.23306796&amp;twist=-158.583983&amp;csym=1&amp;rise2=17.3913&amp;twist2=-158.581&amp;csym2=1", "Link")</f>
        <v/>
      </c>
    </row>
    <row r="1319">
      <c r="A1319" t="inlineStr">
        <is>
          <t>EMD-12093</t>
        </is>
      </c>
      <c r="B1319" t="inlineStr">
        <is>
          <t>non-amyloid</t>
        </is>
      </c>
      <c r="C1319" t="n">
        <v>7.3</v>
      </c>
      <c r="D1319" t="n">
        <v>26.9991</v>
      </c>
      <c r="E1319" t="n">
        <v>39.003</v>
      </c>
      <c r="F1319" t="inlineStr">
        <is>
          <t>C2</t>
        </is>
      </c>
      <c r="G1319" t="inlineStr">
        <is>
          <t>26.9991</t>
        </is>
      </c>
      <c r="H1319" t="n">
        <v>39.003</v>
      </c>
      <c r="I1319" t="inlineStr">
        <is>
          <t>C2</t>
        </is>
      </c>
      <c r="J1319" t="n">
        <v>0</v>
      </c>
      <c r="K1319" t="inlineStr"/>
      <c r="L1319" t="n">
        <v>0.8629</v>
      </c>
      <c r="M1319" t="n">
        <v>0.8629</v>
      </c>
      <c r="N1319" t="inlineStr">
        <is>
          <t>Yes</t>
        </is>
      </c>
      <c r="O1319" t="inlineStr">
        <is>
          <t>equal</t>
        </is>
      </c>
      <c r="P1319" t="inlineStr">
        <is>
          <t>deposited</t>
        </is>
      </c>
      <c r="Q1319" t="inlineStr"/>
      <c r="R1319" t="inlineStr"/>
      <c r="S1319">
        <f>HYPERLINK("https://helical-indexing-hi3d.streamlit.app/?emd_id=emd-12093&amp;rise=26.9991&amp;twist=39.003&amp;csym=2&amp;rise2=26.9991&amp;twist2=39.003&amp;csym2=2", "Link")</f>
        <v/>
      </c>
    </row>
    <row r="1320">
      <c r="A1320" t="inlineStr">
        <is>
          <t>EMD-12100</t>
        </is>
      </c>
      <c r="B1320" t="inlineStr">
        <is>
          <t>non-amyloid</t>
        </is>
      </c>
      <c r="C1320" t="n">
        <v>7.3</v>
      </c>
      <c r="D1320" t="n">
        <v>15.1039</v>
      </c>
      <c r="E1320" t="n">
        <v>-158.811</v>
      </c>
      <c r="F1320" t="inlineStr">
        <is>
          <t>C1</t>
        </is>
      </c>
      <c r="G1320" t="inlineStr">
        <is>
          <t>15.1039</t>
        </is>
      </c>
      <c r="H1320" t="n">
        <v>-158.811</v>
      </c>
      <c r="I1320" t="inlineStr">
        <is>
          <t>C1</t>
        </is>
      </c>
      <c r="J1320" t="n">
        <v>0</v>
      </c>
      <c r="K1320" t="inlineStr"/>
      <c r="L1320" t="n">
        <v>0.828</v>
      </c>
      <c r="M1320" t="n">
        <v>0.828</v>
      </c>
      <c r="N1320" t="inlineStr">
        <is>
          <t>Yes</t>
        </is>
      </c>
      <c r="O1320" t="inlineStr">
        <is>
          <t>equal</t>
        </is>
      </c>
      <c r="P1320" t="inlineStr">
        <is>
          <t>deposited</t>
        </is>
      </c>
      <c r="Q1320" t="inlineStr"/>
      <c r="R1320" t="inlineStr"/>
      <c r="S1320">
        <f>HYPERLINK("https://helical-indexing-hi3d.streamlit.app/?emd_id=emd-12100&amp;rise=15.1039&amp;twist=-158.811&amp;csym=1&amp;rise2=15.1039&amp;twist2=-158.811&amp;csym2=1", "Link")</f>
        <v/>
      </c>
    </row>
    <row r="1321">
      <c r="A1321" t="inlineStr">
        <is>
          <t>EMD-8408</t>
        </is>
      </c>
      <c r="B1321" t="inlineStr">
        <is>
          <t>microtubule</t>
        </is>
      </c>
      <c r="C1321" t="n">
        <v>7.3</v>
      </c>
      <c r="D1321" t="n">
        <v>9.455</v>
      </c>
      <c r="E1321" t="n">
        <v>-25.77</v>
      </c>
      <c r="F1321" t="inlineStr">
        <is>
          <t>C1</t>
        </is>
      </c>
      <c r="G1321" t="inlineStr">
        <is>
          <t>9.13848321</t>
        </is>
      </c>
      <c r="H1321" t="n">
        <v>-27.83089891</v>
      </c>
      <c r="I1321" t="inlineStr">
        <is>
          <t>C1</t>
        </is>
      </c>
      <c r="J1321" t="n">
        <v>0.6198109524401217</v>
      </c>
      <c r="K1321" t="inlineStr"/>
      <c r="L1321" t="n">
        <v>0.72471</v>
      </c>
      <c r="M1321" t="n">
        <v>0.82472938</v>
      </c>
      <c r="N1321" t="inlineStr">
        <is>
          <t>Yes</t>
        </is>
      </c>
      <c r="O1321" t="inlineStr">
        <is>
          <t>improve</t>
        </is>
      </c>
      <c r="P1321" t="inlineStr">
        <is>
          <t>adjusted decimals</t>
        </is>
      </c>
      <c r="Q1321" t="inlineStr"/>
      <c r="R1321" t="inlineStr"/>
      <c r="S1321">
        <f>HYPERLINK("https://helical-indexing-hi3d.streamlit.app/?emd_id=emd-8408&amp;rise=9.13848321&amp;twist=-27.83089891&amp;csym=1&amp;rise2=9.455&amp;twist2=-25.77&amp;csym2=1", "Link")</f>
        <v/>
      </c>
    </row>
    <row r="1322">
      <c r="A1322" t="inlineStr">
        <is>
          <t>EMD-31953</t>
        </is>
      </c>
      <c r="B1322" t="inlineStr">
        <is>
          <t>non-amyloid</t>
        </is>
      </c>
      <c r="C1322" t="n">
        <v>7.33</v>
      </c>
      <c r="D1322" t="n">
        <v>33.86</v>
      </c>
      <c r="E1322" t="n">
        <v>76.98</v>
      </c>
      <c r="F1322" t="inlineStr">
        <is>
          <t>C1</t>
        </is>
      </c>
      <c r="G1322" t="inlineStr">
        <is>
          <t>6.776764853</t>
        </is>
      </c>
      <c r="H1322" t="n">
        <v>56.59925196</v>
      </c>
      <c r="I1322" t="inlineStr">
        <is>
          <t>C1</t>
        </is>
      </c>
      <c r="J1322" t="n">
        <v>27.57942876580275</v>
      </c>
      <c r="K1322" t="inlineStr"/>
      <c r="L1322" t="n">
        <v>0.450275919</v>
      </c>
      <c r="M1322" t="n">
        <v>0.901171139</v>
      </c>
      <c r="N1322" t="inlineStr">
        <is>
          <t>Yes</t>
        </is>
      </c>
      <c r="O1322" t="inlineStr">
        <is>
          <t>improve</t>
        </is>
      </c>
      <c r="P1322" t="inlineStr">
        <is>
          <t>different</t>
        </is>
      </c>
      <c r="Q1322" t="inlineStr">
        <is>
          <t>partial symmetry</t>
        </is>
      </c>
      <c r="R1322" t="inlineStr"/>
      <c r="S1322">
        <f>HYPERLINK("https://helical-indexing-hi3d.streamlit.app/?emd_id=emd-31953&amp;rise=6.776764853&amp;twist=56.59925196&amp;csym=1&amp;rise2=33.86&amp;twist2=76.98&amp;csym2=1", "Link")</f>
        <v/>
      </c>
    </row>
    <row r="1323">
      <c r="A1323" t="inlineStr">
        <is>
          <t>EMD-9638</t>
        </is>
      </c>
      <c r="B1323" t="inlineStr">
        <is>
          <t>microtubule</t>
        </is>
      </c>
      <c r="C1323" t="n">
        <v>7.35</v>
      </c>
      <c r="D1323" t="n">
        <v>8.699999999999999</v>
      </c>
      <c r="E1323" t="n">
        <v>-25.76</v>
      </c>
      <c r="F1323" t="inlineStr">
        <is>
          <t>C1</t>
        </is>
      </c>
      <c r="G1323" t="inlineStr"/>
      <c r="H1323" t="inlineStr"/>
      <c r="I1323" t="inlineStr">
        <is>
          <t>C1</t>
        </is>
      </c>
      <c r="J1323" t="inlineStr"/>
      <c r="K1323" t="inlineStr"/>
      <c r="L1323" t="inlineStr"/>
      <c r="M1323" t="inlineStr"/>
      <c r="N1323" t="inlineStr">
        <is>
          <t>No</t>
        </is>
      </c>
      <c r="O1323" t="inlineStr"/>
      <c r="P1323" t="inlineStr">
        <is>
          <t>single unit</t>
        </is>
      </c>
      <c r="Q1323" t="inlineStr"/>
      <c r="R1323" t="inlineStr"/>
      <c r="S1323">
        <f>HYPERLINK("https://helical-indexing-hi3d.streamlit.app/?emd_id=emd-9638&amp;rise=nan&amp;twist=nan&amp;csym=1&amp;rise2=8.7&amp;twist2=-25.76&amp;csym2=1", "Link")</f>
        <v/>
      </c>
    </row>
    <row r="1324">
      <c r="A1324" t="inlineStr">
        <is>
          <t>EMD-6683</t>
        </is>
      </c>
      <c r="B1324" t="inlineStr">
        <is>
          <t>non-amyloid</t>
        </is>
      </c>
      <c r="C1324" t="n">
        <v>7.4</v>
      </c>
      <c r="D1324" t="n">
        <v>4.13</v>
      </c>
      <c r="E1324" t="n">
        <v>64.75</v>
      </c>
      <c r="F1324" t="inlineStr">
        <is>
          <t>C1</t>
        </is>
      </c>
      <c r="G1324" t="inlineStr">
        <is>
          <t>4.116877342</t>
        </is>
      </c>
      <c r="H1324" t="n">
        <v>64.75532342</v>
      </c>
      <c r="I1324" t="inlineStr">
        <is>
          <t>C1</t>
        </is>
      </c>
      <c r="J1324" t="n">
        <v>0.0132772665207967</v>
      </c>
      <c r="K1324" t="inlineStr"/>
      <c r="L1324" t="n">
        <v>0.9968</v>
      </c>
      <c r="M1324" t="n">
        <v>0.9972196250000001</v>
      </c>
      <c r="N1324" t="inlineStr">
        <is>
          <t>Yes</t>
        </is>
      </c>
      <c r="O1324" t="inlineStr">
        <is>
          <t>improve</t>
        </is>
      </c>
      <c r="P1324" t="inlineStr">
        <is>
          <t>adjusted decimals</t>
        </is>
      </c>
      <c r="Q1324" t="inlineStr"/>
      <c r="R1324" t="inlineStr"/>
      <c r="S1324">
        <f>HYPERLINK("https://helical-indexing-hi3d.streamlit.app/?emd_id=emd-6683&amp;rise=4.116877342&amp;twist=64.75532342&amp;csym=1&amp;rise2=4.13&amp;twist2=64.75&amp;csym2=1", "Link")</f>
        <v/>
      </c>
    </row>
    <row r="1325">
      <c r="A1325" t="inlineStr">
        <is>
          <t>EMD-27598</t>
        </is>
      </c>
      <c r="B1325" t="inlineStr">
        <is>
          <t>non-amyloid</t>
        </is>
      </c>
      <c r="C1325" t="n">
        <v>7.4</v>
      </c>
      <c r="D1325" t="n">
        <v>7.06355</v>
      </c>
      <c r="E1325" t="n">
        <v>138.157</v>
      </c>
      <c r="F1325" t="inlineStr">
        <is>
          <t>C1</t>
        </is>
      </c>
      <c r="G1325" t="inlineStr">
        <is>
          <t>7.069833807</t>
        </is>
      </c>
      <c r="H1325" t="n">
        <v>-138.1400129</v>
      </c>
      <c r="I1325" t="inlineStr">
        <is>
          <t>C1</t>
        </is>
      </c>
      <c r="J1325" t="n">
        <v>13.47793519238458</v>
      </c>
      <c r="K1325" t="inlineStr">
        <is>
          <t> </t>
        </is>
      </c>
      <c r="L1325" t="n">
        <v>0.57823</v>
      </c>
      <c r="M1325" t="n">
        <v>0.946653172</v>
      </c>
      <c r="N1325" t="inlineStr">
        <is>
          <t>Yes</t>
        </is>
      </c>
      <c r="O1325" t="inlineStr">
        <is>
          <t>improve</t>
        </is>
      </c>
      <c r="P1325" t="inlineStr">
        <is>
          <t>twist sign</t>
        </is>
      </c>
      <c r="Q1325" t="inlineStr"/>
      <c r="R1325" t="inlineStr"/>
      <c r="S1325">
        <f>HYPERLINK("https://helical-indexing-hi3d.streamlit.app/?emd_id=emd-27598&amp;rise=7.069833807&amp;twist=-138.1400129&amp;csym=1&amp;rise2=7.06355&amp;twist2=138.157&amp;csym2=1", "Link")</f>
        <v/>
      </c>
    </row>
    <row r="1326">
      <c r="A1326" t="inlineStr">
        <is>
          <t>EMD-8918</t>
        </is>
      </c>
      <c r="B1326" t="inlineStr">
        <is>
          <t>non-amyloid</t>
        </is>
      </c>
      <c r="C1326" t="n">
        <v>7.4</v>
      </c>
      <c r="D1326" t="n">
        <v>27.67</v>
      </c>
      <c r="E1326" t="n">
        <v>-166.89</v>
      </c>
      <c r="F1326" t="inlineStr">
        <is>
          <t>C1</t>
        </is>
      </c>
      <c r="G1326" t="inlineStr">
        <is>
          <t>27.67</t>
        </is>
      </c>
      <c r="H1326" t="n">
        <v>-166.89</v>
      </c>
      <c r="I1326" t="inlineStr">
        <is>
          <t>C1</t>
        </is>
      </c>
      <c r="J1326" t="n">
        <v>0</v>
      </c>
      <c r="K1326" t="inlineStr"/>
      <c r="L1326" t="n">
        <v>0.964204511</v>
      </c>
      <c r="M1326" t="n">
        <v>0.964204511</v>
      </c>
      <c r="N1326" t="inlineStr">
        <is>
          <t>Yes</t>
        </is>
      </c>
      <c r="O1326" t="inlineStr">
        <is>
          <t>equal</t>
        </is>
      </c>
      <c r="P1326" t="inlineStr">
        <is>
          <t>deposited</t>
        </is>
      </c>
      <c r="Q1326" t="inlineStr"/>
      <c r="R1326" t="inlineStr"/>
      <c r="S1326">
        <f>HYPERLINK("https://helical-indexing-hi3d.streamlit.app/?emd_id=emd-8918&amp;rise=27.67&amp;twist=-166.89&amp;csym=1&amp;rise2=27.67&amp;twist2=-166.89&amp;csym2=1", "Link")</f>
        <v/>
      </c>
    </row>
    <row r="1327">
      <c r="A1327" t="inlineStr">
        <is>
          <t>EMD-27619</t>
        </is>
      </c>
      <c r="B1327" t="inlineStr">
        <is>
          <t>non-amyloid</t>
        </is>
      </c>
      <c r="C1327" t="n">
        <v>7.4</v>
      </c>
      <c r="D1327" t="n">
        <v>7.06355</v>
      </c>
      <c r="E1327" t="n">
        <v>138.157</v>
      </c>
      <c r="F1327" t="inlineStr">
        <is>
          <t>C1</t>
        </is>
      </c>
      <c r="G1327" t="inlineStr">
        <is>
          <t>7.065722382</t>
        </is>
      </c>
      <c r="H1327" t="n">
        <v>-138.1478129</v>
      </c>
      <c r="I1327" t="inlineStr">
        <is>
          <t>C1</t>
        </is>
      </c>
      <c r="J1327" t="n">
        <v>12.21048024662846</v>
      </c>
      <c r="K1327" t="inlineStr">
        <is>
          <t> </t>
        </is>
      </c>
      <c r="L1327" t="n">
        <v>0.40772</v>
      </c>
      <c r="M1327" t="n">
        <v>0.944976325</v>
      </c>
      <c r="N1327" t="inlineStr">
        <is>
          <t>Yes</t>
        </is>
      </c>
      <c r="O1327" t="inlineStr">
        <is>
          <t>improve</t>
        </is>
      </c>
      <c r="P1327" t="inlineStr">
        <is>
          <t>twist sign</t>
        </is>
      </c>
      <c r="Q1327" t="inlineStr"/>
      <c r="R1327" t="inlineStr"/>
      <c r="S1327">
        <f>HYPERLINK("https://helical-indexing-hi3d.streamlit.app/?emd_id=emd-27619&amp;rise=7.065722382&amp;twist=-138.1478129&amp;csym=1&amp;rise2=7.06355&amp;twist2=138.157&amp;csym2=1", "Link")</f>
        <v/>
      </c>
    </row>
    <row r="1328">
      <c r="A1328" t="inlineStr">
        <is>
          <t>EMD-25656</t>
        </is>
      </c>
      <c r="B1328" t="inlineStr">
        <is>
          <t>non-amyloid</t>
        </is>
      </c>
      <c r="C1328" t="n">
        <v>7.4</v>
      </c>
      <c r="D1328" t="n">
        <v>7.06355</v>
      </c>
      <c r="E1328" t="n">
        <v>138.157</v>
      </c>
      <c r="F1328" t="inlineStr">
        <is>
          <t>C1</t>
        </is>
      </c>
      <c r="G1328" t="inlineStr">
        <is>
          <t>7.062963491</t>
        </is>
      </c>
      <c r="H1328" t="n">
        <v>-138.1530003</v>
      </c>
      <c r="I1328" t="inlineStr">
        <is>
          <t>C1</t>
        </is>
      </c>
      <c r="J1328" t="n">
        <v>12.19780404639601</v>
      </c>
      <c r="K1328" t="inlineStr">
        <is>
          <t> </t>
        </is>
      </c>
      <c r="L1328" t="n">
        <v>0.40113</v>
      </c>
      <c r="M1328" t="n">
        <v>0.938376006</v>
      </c>
      <c r="N1328" t="inlineStr">
        <is>
          <t>Yes</t>
        </is>
      </c>
      <c r="O1328" t="inlineStr">
        <is>
          <t>improve</t>
        </is>
      </c>
      <c r="P1328" t="inlineStr">
        <is>
          <t>twist sign</t>
        </is>
      </c>
      <c r="Q1328" t="inlineStr"/>
      <c r="R1328" t="inlineStr"/>
      <c r="S1328">
        <f>HYPERLINK("https://helical-indexing-hi3d.streamlit.app/?emd_id=emd-25656&amp;rise=7.062963491&amp;twist=-138.1530003&amp;csym=1&amp;rise2=7.06355&amp;twist2=138.157&amp;csym2=1", "Link")</f>
        <v/>
      </c>
    </row>
    <row r="1329">
      <c r="A1329" t="inlineStr">
        <is>
          <t>EMD-27620</t>
        </is>
      </c>
      <c r="B1329" t="inlineStr">
        <is>
          <t>non-amyloid</t>
        </is>
      </c>
      <c r="C1329" t="n">
        <v>7.4</v>
      </c>
      <c r="D1329" t="n">
        <v>7.06355</v>
      </c>
      <c r="E1329" t="n">
        <v>138.157</v>
      </c>
      <c r="F1329" t="inlineStr">
        <is>
          <t>C1</t>
        </is>
      </c>
      <c r="G1329" t="inlineStr">
        <is>
          <t>7.066622558</t>
        </is>
      </c>
      <c r="H1329" t="n">
        <v>-138.142772</v>
      </c>
      <c r="I1329" t="inlineStr">
        <is>
          <t>C1</t>
        </is>
      </c>
      <c r="J1329" t="n">
        <v>13.65596150077691</v>
      </c>
      <c r="K1329" t="inlineStr">
        <is>
          <t> </t>
        </is>
      </c>
      <c r="L1329" t="n">
        <v>0.57241</v>
      </c>
      <c r="M1329" t="n">
        <v>0.9164382760000001</v>
      </c>
      <c r="N1329" t="inlineStr">
        <is>
          <t>Yes</t>
        </is>
      </c>
      <c r="O1329" t="inlineStr">
        <is>
          <t>improve</t>
        </is>
      </c>
      <c r="P1329" t="inlineStr">
        <is>
          <t>twist sign</t>
        </is>
      </c>
      <c r="Q1329" t="inlineStr"/>
      <c r="R1329" t="inlineStr"/>
      <c r="S1329">
        <f>HYPERLINK("https://helical-indexing-hi3d.streamlit.app/?emd_id=emd-27620&amp;rise=7.066622558&amp;twist=-138.142772&amp;csym=1&amp;rise2=7.06355&amp;twist2=138.157&amp;csym2=1", "Link")</f>
        <v/>
      </c>
    </row>
    <row r="1330">
      <c r="A1330" t="inlineStr">
        <is>
          <t>EMD-12101</t>
        </is>
      </c>
      <c r="B1330" t="inlineStr">
        <is>
          <t>non-amyloid</t>
        </is>
      </c>
      <c r="C1330" t="n">
        <v>7.5</v>
      </c>
      <c r="D1330" t="n">
        <v>14.948</v>
      </c>
      <c r="E1330" t="n">
        <v>-158.545</v>
      </c>
      <c r="F1330" t="inlineStr">
        <is>
          <t>C1</t>
        </is>
      </c>
      <c r="G1330" t="inlineStr">
        <is>
          <t>14.948</t>
        </is>
      </c>
      <c r="H1330" t="n">
        <v>-158.545</v>
      </c>
      <c r="I1330" t="inlineStr">
        <is>
          <t>C1</t>
        </is>
      </c>
      <c r="J1330" t="n">
        <v>0</v>
      </c>
      <c r="K1330" t="inlineStr"/>
      <c r="L1330" t="n">
        <v>0.81021</v>
      </c>
      <c r="M1330" t="n">
        <v>0.81021</v>
      </c>
      <c r="N1330" t="inlineStr">
        <is>
          <t>Yes</t>
        </is>
      </c>
      <c r="O1330" t="inlineStr">
        <is>
          <t>equal</t>
        </is>
      </c>
      <c r="P1330" t="inlineStr">
        <is>
          <t>deposited</t>
        </is>
      </c>
      <c r="Q1330" t="inlineStr"/>
      <c r="R1330" t="inlineStr"/>
      <c r="S1330">
        <f>HYPERLINK("https://helical-indexing-hi3d.streamlit.app/?emd_id=emd-12101&amp;rise=14.948&amp;twist=-158.545&amp;csym=1&amp;rise2=14.948&amp;twist2=-158.545&amp;csym2=1", "Link")</f>
        <v/>
      </c>
    </row>
    <row r="1331">
      <c r="A1331" t="inlineStr">
        <is>
          <t>EMD-23082</t>
        </is>
      </c>
      <c r="B1331" t="inlineStr">
        <is>
          <t>non-amyloid</t>
        </is>
      </c>
      <c r="C1331" t="n">
        <v>7.5</v>
      </c>
      <c r="D1331" t="n">
        <v>82</v>
      </c>
      <c r="E1331" t="n">
        <v>0</v>
      </c>
      <c r="F1331" t="inlineStr">
        <is>
          <t>C1</t>
        </is>
      </c>
      <c r="G1331" t="inlineStr"/>
      <c r="H1331" t="inlineStr"/>
      <c r="I1331" t="inlineStr">
        <is>
          <t>C1</t>
        </is>
      </c>
      <c r="J1331" t="inlineStr"/>
      <c r="K1331" t="inlineStr"/>
      <c r="L1331" t="inlineStr"/>
      <c r="M1331" t="inlineStr"/>
      <c r="N1331" t="inlineStr">
        <is>
          <t>Excluded</t>
        </is>
      </c>
      <c r="O1331" t="inlineStr">
        <is>
          <t>equal</t>
        </is>
      </c>
      <c r="P1331" t="inlineStr">
        <is>
          <t>focus reconstruction</t>
        </is>
      </c>
      <c r="Q1331" t="inlineStr"/>
      <c r="R1331" t="inlineStr"/>
      <c r="S1331">
        <f>HYPERLINK("https://helical-indexing-hi3d.streamlit.app/?emd_id=emd-23082&amp;rise=nan&amp;twist=nan&amp;csym=1&amp;rise2=82.0&amp;twist2=0.0&amp;csym2=1", "Link")</f>
        <v/>
      </c>
    </row>
    <row r="1332">
      <c r="A1332" t="inlineStr">
        <is>
          <t>EMD-5423</t>
        </is>
      </c>
      <c r="B1332" t="inlineStr">
        <is>
          <t>non-amyloid</t>
        </is>
      </c>
      <c r="C1332" t="n">
        <v>7.5</v>
      </c>
      <c r="D1332" t="n">
        <v>5.3</v>
      </c>
      <c r="E1332" t="n">
        <v>106.65</v>
      </c>
      <c r="F1332" t="inlineStr"/>
      <c r="G1332" t="inlineStr">
        <is>
          <t>5.3</t>
        </is>
      </c>
      <c r="H1332" t="n">
        <v>106.65</v>
      </c>
      <c r="I1332" t="inlineStr">
        <is>
          <t>Cnan</t>
        </is>
      </c>
      <c r="J1332" t="n">
        <v>0</v>
      </c>
      <c r="K1332" t="inlineStr"/>
      <c r="L1332" t="n">
        <v>0.99943</v>
      </c>
      <c r="M1332" t="n">
        <v>0.99943</v>
      </c>
      <c r="N1332" t="inlineStr">
        <is>
          <t>Yes</t>
        </is>
      </c>
      <c r="O1332" t="inlineStr">
        <is>
          <t>equal</t>
        </is>
      </c>
      <c r="P1332" t="inlineStr">
        <is>
          <t>deposited</t>
        </is>
      </c>
      <c r="Q1332" t="inlineStr"/>
      <c r="R1332" t="inlineStr"/>
      <c r="S1332" t="inlineStr"/>
    </row>
    <row r="1333">
      <c r="A1333" t="inlineStr">
        <is>
          <t>EMD-13328</t>
        </is>
      </c>
      <c r="B1333" t="inlineStr">
        <is>
          <t>non-amyloid</t>
        </is>
      </c>
      <c r="C1333" t="n">
        <v>7.5</v>
      </c>
      <c r="D1333" t="n">
        <v>27.56</v>
      </c>
      <c r="E1333" t="n">
        <v>-166.25</v>
      </c>
      <c r="F1333" t="inlineStr">
        <is>
          <t>C1</t>
        </is>
      </c>
      <c r="G1333" t="inlineStr"/>
      <c r="H1333" t="inlineStr"/>
      <c r="I1333" t="inlineStr">
        <is>
          <t>C1</t>
        </is>
      </c>
      <c r="J1333" t="inlineStr"/>
      <c r="K1333" t="inlineStr"/>
      <c r="L1333" t="inlineStr"/>
      <c r="M1333" t="inlineStr"/>
      <c r="N1333" t="inlineStr">
        <is>
          <t>No</t>
        </is>
      </c>
      <c r="O1333" t="inlineStr"/>
      <c r="P1333" t="inlineStr">
        <is>
          <t>single unit</t>
        </is>
      </c>
      <c r="Q1333" t="inlineStr"/>
      <c r="R1333" t="inlineStr"/>
      <c r="S1333">
        <f>HYPERLINK("https://helical-indexing-hi3d.streamlit.app/?emd_id=emd-13328&amp;rise=nan&amp;twist=nan&amp;csym=1&amp;rise2=27.56&amp;twist2=-166.25&amp;csym2=1", "Link")</f>
        <v/>
      </c>
    </row>
    <row r="1334">
      <c r="A1334" t="inlineStr">
        <is>
          <t>EMD-12098</t>
        </is>
      </c>
      <c r="B1334" t="inlineStr">
        <is>
          <t>non-amyloid</t>
        </is>
      </c>
      <c r="C1334" t="n">
        <v>7.6</v>
      </c>
      <c r="D1334" t="n">
        <v>15.0192</v>
      </c>
      <c r="E1334" t="n">
        <v>-158.879</v>
      </c>
      <c r="F1334" t="inlineStr">
        <is>
          <t>C1</t>
        </is>
      </c>
      <c r="G1334" t="inlineStr">
        <is>
          <t>15.0192</t>
        </is>
      </c>
      <c r="H1334" t="n">
        <v>-158.879</v>
      </c>
      <c r="I1334" t="inlineStr">
        <is>
          <t>C1</t>
        </is>
      </c>
      <c r="J1334" t="n">
        <v>0</v>
      </c>
      <c r="K1334" t="inlineStr"/>
      <c r="L1334" t="n">
        <v>0.81751</v>
      </c>
      <c r="M1334" t="n">
        <v>0.81751</v>
      </c>
      <c r="N1334" t="inlineStr">
        <is>
          <t>Yes</t>
        </is>
      </c>
      <c r="O1334" t="inlineStr">
        <is>
          <t>equal</t>
        </is>
      </c>
      <c r="P1334" t="inlineStr">
        <is>
          <t>deposited</t>
        </is>
      </c>
      <c r="Q1334" t="inlineStr"/>
      <c r="R1334" t="inlineStr"/>
      <c r="S1334">
        <f>HYPERLINK("https://helical-indexing-hi3d.streamlit.app/?emd_id=emd-12098&amp;rise=15.0192&amp;twist=-158.879&amp;csym=1&amp;rise2=15.0192&amp;twist2=-158.879&amp;csym2=1", "Link")</f>
        <v/>
      </c>
    </row>
    <row r="1335">
      <c r="A1335" t="inlineStr">
        <is>
          <t>EMD-8490</t>
        </is>
      </c>
      <c r="B1335" t="inlineStr">
        <is>
          <t>non-amyloid</t>
        </is>
      </c>
      <c r="C1335" t="n">
        <v>7.6</v>
      </c>
      <c r="D1335" t="n">
        <v>82.3</v>
      </c>
      <c r="E1335" t="n">
        <v>48.2</v>
      </c>
      <c r="F1335" t="inlineStr">
        <is>
          <t>C2</t>
        </is>
      </c>
      <c r="G1335" t="inlineStr">
        <is>
          <t>82.3</t>
        </is>
      </c>
      <c r="H1335" t="n">
        <v>48.2</v>
      </c>
      <c r="I1335" t="inlineStr">
        <is>
          <t>C2</t>
        </is>
      </c>
      <c r="J1335" t="n">
        <v>0</v>
      </c>
      <c r="K1335" t="inlineStr"/>
      <c r="L1335" t="n">
        <v>0.99527</v>
      </c>
      <c r="M1335" t="n">
        <v>0.99527</v>
      </c>
      <c r="N1335" t="inlineStr">
        <is>
          <t>Yes</t>
        </is>
      </c>
      <c r="O1335" t="inlineStr">
        <is>
          <t>equal</t>
        </is>
      </c>
      <c r="P1335" t="inlineStr">
        <is>
          <t>deposited</t>
        </is>
      </c>
      <c r="Q1335" t="inlineStr"/>
      <c r="R1335" t="inlineStr"/>
      <c r="S1335">
        <f>HYPERLINK("https://helical-indexing-hi3d.streamlit.app/?emd_id=emd-8490&amp;rise=82.3&amp;twist=48.2&amp;csym=2&amp;rise2=82.3&amp;twist2=48.2&amp;csym2=2", "Link")</f>
        <v/>
      </c>
    </row>
    <row r="1336">
      <c r="A1336" t="inlineStr">
        <is>
          <t>EMD-16431</t>
        </is>
      </c>
      <c r="B1336" t="inlineStr">
        <is>
          <t>non-amyloid</t>
        </is>
      </c>
      <c r="C1336" t="n">
        <v>7.6</v>
      </c>
      <c r="D1336" t="n">
        <v>72</v>
      </c>
      <c r="E1336" t="n">
        <v>180</v>
      </c>
      <c r="F1336" t="inlineStr">
        <is>
          <t>C1</t>
        </is>
      </c>
      <c r="G1336" t="inlineStr">
        <is>
          <t>19.241091</t>
        </is>
      </c>
      <c r="H1336" t="n">
        <v>-0.099280994</v>
      </c>
      <c r="I1336" t="inlineStr">
        <is>
          <t>C1</t>
        </is>
      </c>
      <c r="J1336" t="n">
        <v>53.36844613963255</v>
      </c>
      <c r="K1336" t="inlineStr"/>
      <c r="L1336" t="n">
        <v>0.80498</v>
      </c>
      <c r="M1336" t="n">
        <v>0.830381148</v>
      </c>
      <c r="N1336" t="inlineStr">
        <is>
          <t>Yes</t>
        </is>
      </c>
      <c r="O1336" t="inlineStr">
        <is>
          <t>improve</t>
        </is>
      </c>
      <c r="P1336" t="inlineStr">
        <is>
          <t>different</t>
        </is>
      </c>
      <c r="Q1336" t="inlineStr">
        <is>
          <t>check</t>
        </is>
      </c>
      <c r="R1336" t="inlineStr"/>
      <c r="S1336">
        <f>HYPERLINK("https://helical-indexing-hi3d.streamlit.app/?emd_id=emd-16431&amp;rise=19.241091&amp;twist=-0.099280994&amp;csym=1&amp;rise2=72.0&amp;twist2=180.0&amp;csym2=1", "Link")</f>
        <v/>
      </c>
    </row>
    <row r="1337">
      <c r="A1337" t="inlineStr">
        <is>
          <t>EMD-28710</t>
        </is>
      </c>
      <c r="B1337" t="inlineStr">
        <is>
          <t>non-amyloid</t>
        </is>
      </c>
      <c r="C1337" t="n">
        <v>7.6</v>
      </c>
      <c r="D1337" t="n">
        <v>3.14</v>
      </c>
      <c r="E1337" t="n">
        <v>-20.83</v>
      </c>
      <c r="F1337" t="inlineStr">
        <is>
          <t>C1</t>
        </is>
      </c>
      <c r="G1337" t="inlineStr">
        <is>
          <t>3.190521146</t>
        </is>
      </c>
      <c r="H1337" t="n">
        <v>-20.76923044</v>
      </c>
      <c r="I1337" t="inlineStr">
        <is>
          <t>C1</t>
        </is>
      </c>
      <c r="J1337" t="n">
        <v>0.078121618</v>
      </c>
      <c r="K1337" t="inlineStr"/>
      <c r="L1337" t="n">
        <v>0.69242</v>
      </c>
      <c r="M1337" t="n">
        <v>0.807122406</v>
      </c>
      <c r="N1337" t="inlineStr">
        <is>
          <t>Yes</t>
        </is>
      </c>
      <c r="O1337" t="inlineStr">
        <is>
          <t>improve</t>
        </is>
      </c>
      <c r="P1337" t="inlineStr">
        <is>
          <t>adjusted decimals</t>
        </is>
      </c>
      <c r="Q1337" t="inlineStr"/>
      <c r="R1337" t="inlineStr"/>
      <c r="S1337">
        <f>HYPERLINK("https://helical-indexing-hi3d.streamlit.app/?emd_id=emd-28710&amp;rise=3.190521146&amp;twist=-20.76923044&amp;csym=1&amp;rise2=3.14&amp;twist2=-20.83&amp;csym2=1", "Link")</f>
        <v/>
      </c>
    </row>
    <row r="1338">
      <c r="A1338" t="inlineStr">
        <is>
          <t>EMD-6448</t>
        </is>
      </c>
      <c r="B1338" t="inlineStr">
        <is>
          <t>non-amyloid</t>
        </is>
      </c>
      <c r="C1338" t="n">
        <v>7.6</v>
      </c>
      <c r="D1338" t="n">
        <v>27.8</v>
      </c>
      <c r="E1338" t="n">
        <v>166.67</v>
      </c>
      <c r="F1338" t="inlineStr">
        <is>
          <t>C1</t>
        </is>
      </c>
      <c r="G1338" t="inlineStr">
        <is>
          <t>27.67043686</t>
        </is>
      </c>
      <c r="H1338" t="n">
        <v>-166.2726249</v>
      </c>
      <c r="I1338" t="inlineStr">
        <is>
          <t>C1</t>
        </is>
      </c>
      <c r="J1338" t="n">
        <v>3.725953999605919</v>
      </c>
      <c r="K1338" t="inlineStr">
        <is>
          <t> </t>
        </is>
      </c>
      <c r="L1338" t="n">
        <v>0.61747</v>
      </c>
      <c r="M1338" t="n">
        <v>0.975774854</v>
      </c>
      <c r="N1338" t="inlineStr">
        <is>
          <t>Yes</t>
        </is>
      </c>
      <c r="O1338" t="inlineStr">
        <is>
          <t>improve</t>
        </is>
      </c>
      <c r="P1338" t="inlineStr">
        <is>
          <t>twist sign</t>
        </is>
      </c>
      <c r="Q1338" t="inlineStr"/>
      <c r="R1338" t="inlineStr"/>
      <c r="S1338">
        <f>HYPERLINK("https://helical-indexing-hi3d.streamlit.app/?emd_id=emd-6448&amp;rise=27.67043686&amp;twist=-166.2726249&amp;csym=1&amp;rise2=27.8&amp;twist2=166.67&amp;csym2=1", "Link")</f>
        <v/>
      </c>
    </row>
    <row r="1339">
      <c r="A1339" t="inlineStr">
        <is>
          <t>EMD-12099</t>
        </is>
      </c>
      <c r="B1339" t="inlineStr">
        <is>
          <t>non-amyloid</t>
        </is>
      </c>
      <c r="C1339" t="n">
        <v>7.6</v>
      </c>
      <c r="D1339" t="n">
        <v>14.9352</v>
      </c>
      <c r="E1339" t="n">
        <v>-158.778</v>
      </c>
      <c r="F1339" t="inlineStr">
        <is>
          <t>C1</t>
        </is>
      </c>
      <c r="G1339" t="inlineStr">
        <is>
          <t>14.9352</t>
        </is>
      </c>
      <c r="H1339" t="n">
        <v>-158.778</v>
      </c>
      <c r="I1339" t="inlineStr">
        <is>
          <t>C1</t>
        </is>
      </c>
      <c r="J1339" t="n">
        <v>0</v>
      </c>
      <c r="K1339" t="inlineStr"/>
      <c r="L1339" t="n">
        <v>0.83145</v>
      </c>
      <c r="M1339" t="n">
        <v>0.83145</v>
      </c>
      <c r="N1339" t="inlineStr">
        <is>
          <t>Yes</t>
        </is>
      </c>
      <c r="O1339" t="inlineStr">
        <is>
          <t>equal</t>
        </is>
      </c>
      <c r="P1339" t="inlineStr">
        <is>
          <t>deposited</t>
        </is>
      </c>
      <c r="Q1339" t="inlineStr"/>
      <c r="R1339" t="inlineStr"/>
      <c r="S1339">
        <f>HYPERLINK("https://helical-indexing-hi3d.streamlit.app/?emd_id=emd-12099&amp;rise=14.9352&amp;twist=-158.778&amp;csym=1&amp;rise2=14.9352&amp;twist2=-158.778&amp;csym2=1", "Link")</f>
        <v/>
      </c>
    </row>
    <row r="1340">
      <c r="A1340" t="inlineStr">
        <is>
          <t>EMD-29851</t>
        </is>
      </c>
      <c r="B1340" t="inlineStr">
        <is>
          <t>non-amyloid</t>
        </is>
      </c>
      <c r="C1340" t="n">
        <v>7.62</v>
      </c>
      <c r="D1340" t="n">
        <v>50.59</v>
      </c>
      <c r="E1340" t="n">
        <v>42.6</v>
      </c>
      <c r="F1340" t="inlineStr">
        <is>
          <t>C2</t>
        </is>
      </c>
      <c r="G1340" t="inlineStr">
        <is>
          <t>50.59</t>
        </is>
      </c>
      <c r="H1340" t="n">
        <v>42.6</v>
      </c>
      <c r="I1340" t="inlineStr">
        <is>
          <t>C2</t>
        </is>
      </c>
      <c r="J1340" t="n">
        <v>0</v>
      </c>
      <c r="K1340" t="inlineStr"/>
      <c r="L1340" t="n">
        <v>0.9688</v>
      </c>
      <c r="M1340" t="n">
        <v>0.9688</v>
      </c>
      <c r="N1340" t="inlineStr">
        <is>
          <t>Yes</t>
        </is>
      </c>
      <c r="O1340" t="inlineStr">
        <is>
          <t>equal</t>
        </is>
      </c>
      <c r="P1340" t="inlineStr">
        <is>
          <t>deposited</t>
        </is>
      </c>
      <c r="Q1340" t="inlineStr"/>
      <c r="R1340" t="inlineStr"/>
      <c r="S1340">
        <f>HYPERLINK("https://helical-indexing-hi3d.streamlit.app/?emd_id=emd-29851&amp;rise=50.59&amp;twist=42.6&amp;csym=2&amp;rise2=50.59&amp;twist2=42.6&amp;csym2=2", "Link")</f>
        <v/>
      </c>
    </row>
    <row r="1341">
      <c r="A1341" t="inlineStr">
        <is>
          <t>EMD-1987</t>
        </is>
      </c>
      <c r="B1341" t="inlineStr">
        <is>
          <t>non-amyloid</t>
        </is>
      </c>
      <c r="C1341" t="n">
        <v>7.7</v>
      </c>
      <c r="D1341" t="n">
        <v>27.6</v>
      </c>
      <c r="E1341" t="n">
        <v>166.5</v>
      </c>
      <c r="F1341" t="inlineStr"/>
      <c r="G1341" t="inlineStr">
        <is>
          <t>27.6</t>
        </is>
      </c>
      <c r="H1341" t="n">
        <v>-166.5</v>
      </c>
      <c r="I1341" t="inlineStr">
        <is>
          <t>Cnan</t>
        </is>
      </c>
      <c r="J1341" t="n">
        <v>7.117404603629675</v>
      </c>
      <c r="K1341" t="inlineStr">
        <is>
          <t> </t>
        </is>
      </c>
      <c r="L1341" t="n">
        <v>0.42947</v>
      </c>
      <c r="M1341" t="n">
        <v>0.993224303</v>
      </c>
      <c r="N1341" t="inlineStr">
        <is>
          <t>Yes</t>
        </is>
      </c>
      <c r="O1341" t="inlineStr">
        <is>
          <t>improve</t>
        </is>
      </c>
      <c r="P1341" t="inlineStr">
        <is>
          <t>twist sign</t>
        </is>
      </c>
      <c r="Q1341" t="inlineStr"/>
      <c r="R1341" t="inlineStr"/>
      <c r="S1341" t="inlineStr"/>
    </row>
    <row r="1342">
      <c r="A1342" t="inlineStr">
        <is>
          <t>EMD-5352</t>
        </is>
      </c>
      <c r="B1342" t="inlineStr">
        <is>
          <t>non-amyloid</t>
        </is>
      </c>
      <c r="C1342" t="n">
        <v>7.7</v>
      </c>
      <c r="D1342" t="n">
        <v>4.3</v>
      </c>
      <c r="E1342" t="n">
        <v>64.06</v>
      </c>
      <c r="F1342" t="inlineStr"/>
      <c r="G1342" t="inlineStr">
        <is>
          <t>4.3</t>
        </is>
      </c>
      <c r="H1342" t="n">
        <v>64.06</v>
      </c>
      <c r="I1342" t="inlineStr">
        <is>
          <t>Cnan</t>
        </is>
      </c>
      <c r="J1342" t="n">
        <v>0</v>
      </c>
      <c r="K1342" t="inlineStr"/>
      <c r="L1342" t="n">
        <v>0.98892</v>
      </c>
      <c r="M1342" t="n">
        <v>0.98892</v>
      </c>
      <c r="N1342" t="inlineStr">
        <is>
          <t>Yes</t>
        </is>
      </c>
      <c r="O1342" t="inlineStr">
        <is>
          <t>equal</t>
        </is>
      </c>
      <c r="P1342" t="inlineStr">
        <is>
          <t>deposited</t>
        </is>
      </c>
      <c r="Q1342" t="inlineStr"/>
      <c r="R1342" t="inlineStr"/>
      <c r="S1342" t="inlineStr"/>
    </row>
    <row r="1343">
      <c r="A1343" t="inlineStr">
        <is>
          <t>EMD-12097</t>
        </is>
      </c>
      <c r="B1343" t="inlineStr">
        <is>
          <t>non-amyloid</t>
        </is>
      </c>
      <c r="C1343" t="n">
        <v>7.7</v>
      </c>
      <c r="D1343" t="n">
        <v>15.0837</v>
      </c>
      <c r="E1343" t="n">
        <v>-159.002</v>
      </c>
      <c r="F1343" t="inlineStr">
        <is>
          <t>C1</t>
        </is>
      </c>
      <c r="G1343" t="inlineStr">
        <is>
          <t>15.0837</t>
        </is>
      </c>
      <c r="H1343" t="n">
        <v>-159.002</v>
      </c>
      <c r="I1343" t="inlineStr">
        <is>
          <t>C1</t>
        </is>
      </c>
      <c r="J1343" t="n">
        <v>0</v>
      </c>
      <c r="K1343" t="inlineStr"/>
      <c r="L1343" t="n">
        <v>0.84693</v>
      </c>
      <c r="M1343" t="n">
        <v>0.84693</v>
      </c>
      <c r="N1343" t="inlineStr">
        <is>
          <t>Yes</t>
        </is>
      </c>
      <c r="O1343" t="inlineStr">
        <is>
          <t>equal</t>
        </is>
      </c>
      <c r="P1343" t="inlineStr">
        <is>
          <t>deposited</t>
        </is>
      </c>
      <c r="Q1343" t="inlineStr"/>
      <c r="R1343" t="inlineStr"/>
      <c r="S1343">
        <f>HYPERLINK("https://helical-indexing-hi3d.streamlit.app/?emd_id=emd-12097&amp;rise=15.0837&amp;twist=-159.002&amp;csym=1&amp;rise2=15.0837&amp;twist2=-159.002&amp;csym2=1", "Link")</f>
        <v/>
      </c>
    </row>
    <row r="1344">
      <c r="A1344" t="inlineStr">
        <is>
          <t>EMD-25212</t>
        </is>
      </c>
      <c r="B1344" t="inlineStr">
        <is>
          <t>non-amyloid</t>
        </is>
      </c>
      <c r="C1344" t="n">
        <v>7.7</v>
      </c>
      <c r="D1344" t="n">
        <v>9.699999999999999</v>
      </c>
      <c r="E1344" t="n">
        <v>130.9</v>
      </c>
      <c r="F1344" t="inlineStr">
        <is>
          <t>C1</t>
        </is>
      </c>
      <c r="G1344" t="inlineStr">
        <is>
          <t>9.764500748</t>
        </is>
      </c>
      <c r="H1344" t="n">
        <v>131.0143343</v>
      </c>
      <c r="I1344" t="inlineStr">
        <is>
          <t>C1</t>
        </is>
      </c>
      <c r="J1344" t="n">
        <v>0.08510261299999999</v>
      </c>
      <c r="K1344" t="inlineStr"/>
      <c r="L1344" t="n">
        <v>0.90755</v>
      </c>
      <c r="M1344" t="n">
        <v>0.915580748</v>
      </c>
      <c r="N1344" t="inlineStr">
        <is>
          <t>Yes</t>
        </is>
      </c>
      <c r="O1344" t="inlineStr">
        <is>
          <t>improve</t>
        </is>
      </c>
      <c r="P1344" t="inlineStr">
        <is>
          <t>adjusted decimals</t>
        </is>
      </c>
      <c r="Q1344" t="inlineStr"/>
      <c r="R1344" t="inlineStr"/>
      <c r="S1344">
        <f>HYPERLINK("https://helical-indexing-hi3d.streamlit.app/?emd_id=emd-25212&amp;rise=9.764500748&amp;twist=131.0143343&amp;csym=1&amp;rise2=9.7&amp;twist2=130.9&amp;csym2=1", "Link")</f>
        <v/>
      </c>
    </row>
    <row r="1345">
      <c r="A1345" t="inlineStr">
        <is>
          <t>EMD-1988</t>
        </is>
      </c>
      <c r="B1345" t="inlineStr">
        <is>
          <t>non-amyloid</t>
        </is>
      </c>
      <c r="C1345" t="n">
        <v>7.8</v>
      </c>
      <c r="D1345" t="n">
        <v>27.6</v>
      </c>
      <c r="E1345" t="n">
        <v>166.5</v>
      </c>
      <c r="F1345" t="inlineStr"/>
      <c r="G1345" t="inlineStr">
        <is>
          <t>27.74425394</t>
        </is>
      </c>
      <c r="H1345" t="n">
        <v>-166.4287113</v>
      </c>
      <c r="I1345" t="inlineStr">
        <is>
          <t>Cnan</t>
        </is>
      </c>
      <c r="J1345" t="n">
        <v>7.312735298659672</v>
      </c>
      <c r="K1345" t="inlineStr">
        <is>
          <t> </t>
        </is>
      </c>
      <c r="L1345" t="n">
        <v>0.45367</v>
      </c>
      <c r="M1345" t="n">
        <v>0.990366387</v>
      </c>
      <c r="N1345" t="inlineStr">
        <is>
          <t>Yes</t>
        </is>
      </c>
      <c r="O1345" t="inlineStr">
        <is>
          <t>improve</t>
        </is>
      </c>
      <c r="P1345" t="inlineStr">
        <is>
          <t>twist sign</t>
        </is>
      </c>
      <c r="Q1345" t="inlineStr"/>
      <c r="R1345" t="inlineStr"/>
      <c r="S1345" t="inlineStr"/>
    </row>
    <row r="1346">
      <c r="A1346" t="inlineStr">
        <is>
          <t>EMD-8065</t>
        </is>
      </c>
      <c r="B1346" t="inlineStr">
        <is>
          <t>non-amyloid</t>
        </is>
      </c>
      <c r="C1346" t="n">
        <v>7.8</v>
      </c>
      <c r="D1346" t="n">
        <v>21.22</v>
      </c>
      <c r="E1346" t="n">
        <v>-36.9</v>
      </c>
      <c r="F1346" t="inlineStr">
        <is>
          <t>C1</t>
        </is>
      </c>
      <c r="G1346" t="inlineStr">
        <is>
          <t>21.22</t>
        </is>
      </c>
      <c r="H1346" t="n">
        <v>-36.9</v>
      </c>
      <c r="I1346" t="inlineStr">
        <is>
          <t>C1</t>
        </is>
      </c>
      <c r="J1346" t="n">
        <v>0</v>
      </c>
      <c r="K1346" t="inlineStr"/>
      <c r="L1346" t="n">
        <v>0.99968</v>
      </c>
      <c r="M1346" t="n">
        <v>0.99968</v>
      </c>
      <c r="N1346" t="inlineStr">
        <is>
          <t>Yes</t>
        </is>
      </c>
      <c r="O1346" t="inlineStr">
        <is>
          <t>equal</t>
        </is>
      </c>
      <c r="P1346" t="inlineStr">
        <is>
          <t>deposited</t>
        </is>
      </c>
      <c r="Q1346" t="inlineStr"/>
      <c r="R1346" t="inlineStr"/>
      <c r="S1346">
        <f>HYPERLINK("https://helical-indexing-hi3d.streamlit.app/?emd_id=emd-8065&amp;rise=21.22&amp;twist=-36.9&amp;csym=1&amp;rise2=21.22&amp;twist2=-36.9&amp;csym2=1", "Link")</f>
        <v/>
      </c>
    </row>
    <row r="1347">
      <c r="A1347" t="inlineStr">
        <is>
          <t>EMD-9019</t>
        </is>
      </c>
      <c r="B1347" t="inlineStr">
        <is>
          <t>non-amyloid</t>
        </is>
      </c>
      <c r="C1347" t="n">
        <v>7.8</v>
      </c>
      <c r="D1347" t="n">
        <v>24.1338</v>
      </c>
      <c r="E1347" t="n">
        <v>50.1109</v>
      </c>
      <c r="F1347" t="inlineStr">
        <is>
          <t>C3</t>
        </is>
      </c>
      <c r="G1347" t="inlineStr">
        <is>
          <t>24.1338</t>
        </is>
      </c>
      <c r="H1347" t="n">
        <v>50.1109</v>
      </c>
      <c r="I1347" t="inlineStr">
        <is>
          <t>C3</t>
        </is>
      </c>
      <c r="J1347" t="n">
        <v>0</v>
      </c>
      <c r="K1347" t="inlineStr"/>
      <c r="L1347" t="n">
        <v>0.92038</v>
      </c>
      <c r="M1347" t="n">
        <v>0.92038</v>
      </c>
      <c r="N1347" t="inlineStr">
        <is>
          <t>Yes</t>
        </is>
      </c>
      <c r="O1347" t="inlineStr">
        <is>
          <t>equal</t>
        </is>
      </c>
      <c r="P1347" t="inlineStr">
        <is>
          <t>deposited</t>
        </is>
      </c>
      <c r="Q1347" t="inlineStr"/>
      <c r="R1347" t="inlineStr"/>
      <c r="S1347">
        <f>HYPERLINK("https://helical-indexing-hi3d.streamlit.app/?emd_id=emd-9019&amp;rise=24.1338&amp;twist=50.1109&amp;csym=3&amp;rise2=24.1338&amp;twist2=50.1109&amp;csym2=3", "Link")</f>
        <v/>
      </c>
    </row>
    <row r="1348">
      <c r="A1348" t="inlineStr">
        <is>
          <t>EMD-27617</t>
        </is>
      </c>
      <c r="B1348" t="inlineStr">
        <is>
          <t>non-amyloid</t>
        </is>
      </c>
      <c r="C1348" t="n">
        <v>7.85</v>
      </c>
      <c r="D1348" t="n">
        <v>7.12159</v>
      </c>
      <c r="E1348" t="n">
        <v>-55.2834</v>
      </c>
      <c r="F1348" t="inlineStr">
        <is>
          <t>C1</t>
        </is>
      </c>
      <c r="G1348" t="inlineStr">
        <is>
          <t>7.12159</t>
        </is>
      </c>
      <c r="H1348" t="n">
        <v>-55.2834</v>
      </c>
      <c r="I1348" t="inlineStr">
        <is>
          <t>C1</t>
        </is>
      </c>
      <c r="J1348" t="n">
        <v>0</v>
      </c>
      <c r="K1348" t="inlineStr"/>
      <c r="L1348" t="n">
        <v>0.9479300000000001</v>
      </c>
      <c r="M1348" t="n">
        <v>0.9479300000000001</v>
      </c>
      <c r="N1348" t="inlineStr">
        <is>
          <t>Yes</t>
        </is>
      </c>
      <c r="O1348" t="inlineStr">
        <is>
          <t>equal</t>
        </is>
      </c>
      <c r="P1348" t="inlineStr">
        <is>
          <t>deposited</t>
        </is>
      </c>
      <c r="Q1348" t="inlineStr"/>
      <c r="R1348" t="inlineStr"/>
      <c r="S1348">
        <f>HYPERLINK("https://helical-indexing-hi3d.streamlit.app/?emd_id=emd-27617&amp;rise=7.12159&amp;twist=-55.2834&amp;csym=1&amp;rise2=7.12159&amp;twist2=-55.2834&amp;csym2=1", "Link")</f>
        <v/>
      </c>
    </row>
    <row r="1349">
      <c r="A1349" t="inlineStr">
        <is>
          <t>EMD-27618</t>
        </is>
      </c>
      <c r="B1349" t="inlineStr">
        <is>
          <t>non-amyloid</t>
        </is>
      </c>
      <c r="C1349" t="n">
        <v>7.85</v>
      </c>
      <c r="D1349" t="n">
        <v>7.12159</v>
      </c>
      <c r="E1349" t="n">
        <v>-55.2834</v>
      </c>
      <c r="F1349" t="inlineStr">
        <is>
          <t>C1</t>
        </is>
      </c>
      <c r="G1349" t="inlineStr">
        <is>
          <t>7.12159</t>
        </is>
      </c>
      <c r="H1349" t="n">
        <v>-55.2834</v>
      </c>
      <c r="I1349" t="inlineStr">
        <is>
          <t>C1</t>
        </is>
      </c>
      <c r="J1349" t="n">
        <v>0</v>
      </c>
      <c r="K1349" t="inlineStr"/>
      <c r="L1349" t="n">
        <v>0.93814</v>
      </c>
      <c r="M1349" t="n">
        <v>0.93814</v>
      </c>
      <c r="N1349" t="inlineStr">
        <is>
          <t>Yes</t>
        </is>
      </c>
      <c r="O1349" t="inlineStr">
        <is>
          <t>equal</t>
        </is>
      </c>
      <c r="P1349" t="inlineStr">
        <is>
          <t>deposited</t>
        </is>
      </c>
      <c r="Q1349" t="inlineStr"/>
      <c r="R1349" t="inlineStr"/>
      <c r="S1349">
        <f>HYPERLINK("https://helical-indexing-hi3d.streamlit.app/?emd_id=emd-27618&amp;rise=7.12159&amp;twist=-55.2834&amp;csym=1&amp;rise2=7.12159&amp;twist2=-55.2834&amp;csym2=1", "Link")</f>
        <v/>
      </c>
    </row>
    <row r="1350">
      <c r="A1350" t="inlineStr">
        <is>
          <t>EMD-27599</t>
        </is>
      </c>
      <c r="B1350" t="inlineStr">
        <is>
          <t>non-amyloid</t>
        </is>
      </c>
      <c r="C1350" t="n">
        <v>7.85</v>
      </c>
      <c r="D1350" t="n">
        <v>7.12159</v>
      </c>
      <c r="E1350" t="n">
        <v>-55.2834</v>
      </c>
      <c r="F1350" t="inlineStr">
        <is>
          <t>C1</t>
        </is>
      </c>
      <c r="G1350" t="inlineStr">
        <is>
          <t>7.12159</t>
        </is>
      </c>
      <c r="H1350" t="n">
        <v>-55.2834</v>
      </c>
      <c r="I1350" t="inlineStr">
        <is>
          <t>C1</t>
        </is>
      </c>
      <c r="J1350" t="n">
        <v>0</v>
      </c>
      <c r="K1350" t="inlineStr"/>
      <c r="L1350" t="n">
        <v>0.95339</v>
      </c>
      <c r="M1350" t="n">
        <v>0.95339</v>
      </c>
      <c r="N1350" t="inlineStr">
        <is>
          <t>Yes</t>
        </is>
      </c>
      <c r="O1350" t="inlineStr">
        <is>
          <t>equal</t>
        </is>
      </c>
      <c r="P1350" t="inlineStr">
        <is>
          <t>deposited</t>
        </is>
      </c>
      <c r="Q1350" t="inlineStr"/>
      <c r="R1350" t="inlineStr"/>
      <c r="S1350">
        <f>HYPERLINK("https://helical-indexing-hi3d.streamlit.app/?emd_id=emd-27599&amp;rise=7.12159&amp;twist=-55.2834&amp;csym=1&amp;rise2=7.12159&amp;twist2=-55.2834&amp;csym2=1", "Link")</f>
        <v/>
      </c>
    </row>
    <row r="1351">
      <c r="A1351" t="inlineStr">
        <is>
          <t>EMD-5489</t>
        </is>
      </c>
      <c r="B1351" t="inlineStr">
        <is>
          <t>microtubule</t>
        </is>
      </c>
      <c r="C1351" t="n">
        <v>7.9</v>
      </c>
      <c r="D1351" t="n">
        <v>8.59601</v>
      </c>
      <c r="E1351" t="n">
        <v>25.74778</v>
      </c>
      <c r="F1351" t="inlineStr"/>
      <c r="G1351" t="inlineStr">
        <is>
          <t>8.59601</t>
        </is>
      </c>
      <c r="H1351" t="n">
        <v>25.74778</v>
      </c>
      <c r="I1351" t="inlineStr">
        <is>
          <t>Cnan</t>
        </is>
      </c>
      <c r="J1351" t="n">
        <v>0</v>
      </c>
      <c r="K1351" t="inlineStr"/>
      <c r="L1351" t="n">
        <v>0.63606</v>
      </c>
      <c r="M1351" t="n">
        <v>0.901607494</v>
      </c>
      <c r="N1351" t="inlineStr">
        <is>
          <t>Yes</t>
        </is>
      </c>
      <c r="O1351" t="inlineStr">
        <is>
          <t>improve</t>
        </is>
      </c>
      <c r="P1351" t="inlineStr">
        <is>
          <t>different</t>
        </is>
      </c>
      <c r="Q1351" t="inlineStr"/>
      <c r="R1351" t="inlineStr"/>
      <c r="S1351" t="inlineStr"/>
    </row>
    <row r="1352">
      <c r="A1352" t="inlineStr">
        <is>
          <t>EMD-6307</t>
        </is>
      </c>
      <c r="B1352" t="inlineStr">
        <is>
          <t>microtubule</t>
        </is>
      </c>
      <c r="C1352" t="n">
        <v>7.95</v>
      </c>
      <c r="D1352" t="inlineStr"/>
      <c r="E1352" t="inlineStr"/>
      <c r="F1352" t="inlineStr"/>
      <c r="G1352" t="inlineStr"/>
      <c r="H1352" t="inlineStr"/>
      <c r="I1352" t="inlineStr">
        <is>
          <t>Cnan</t>
        </is>
      </c>
      <c r="J1352" t="inlineStr"/>
      <c r="K1352" t="inlineStr">
        <is>
          <t> </t>
        </is>
      </c>
      <c r="L1352" t="inlineStr"/>
      <c r="M1352" t="n">
        <v>0.72711668</v>
      </c>
      <c r="N1352" t="inlineStr">
        <is>
          <t>Excluded</t>
        </is>
      </c>
      <c r="O1352" t="inlineStr">
        <is>
          <t>improve</t>
        </is>
      </c>
      <c r="P1352" t="inlineStr">
        <is>
          <t>partial map</t>
        </is>
      </c>
      <c r="Q1352" t="inlineStr"/>
      <c r="R1352" t="inlineStr"/>
      <c r="S1352" t="inlineStr"/>
    </row>
    <row r="1353">
      <c r="A1353" t="inlineStr">
        <is>
          <t>EMD-25911</t>
        </is>
      </c>
      <c r="B1353" t="inlineStr">
        <is>
          <t>non-amyloid</t>
        </is>
      </c>
      <c r="C1353" t="n">
        <v>8</v>
      </c>
      <c r="D1353" t="n">
        <v>27.4</v>
      </c>
      <c r="E1353" t="n">
        <v>-166.7</v>
      </c>
      <c r="F1353" t="inlineStr">
        <is>
          <t>C1</t>
        </is>
      </c>
      <c r="G1353" t="inlineStr">
        <is>
          <t>54.86447682</t>
        </is>
      </c>
      <c r="H1353" t="n">
        <v>26.69077122</v>
      </c>
      <c r="I1353" t="inlineStr">
        <is>
          <t>C1</t>
        </is>
      </c>
      <c r="J1353" t="n">
        <v>32.91387357</v>
      </c>
      <c r="K1353" t="inlineStr"/>
      <c r="L1353" t="n">
        <v>0.7202</v>
      </c>
      <c r="M1353" t="n">
        <v>0.78065757</v>
      </c>
      <c r="N1353" t="inlineStr">
        <is>
          <t>Yes</t>
        </is>
      </c>
      <c r="O1353" t="inlineStr">
        <is>
          <t>improve</t>
        </is>
      </c>
      <c r="P1353" t="inlineStr">
        <is>
          <t>different</t>
        </is>
      </c>
      <c r="Q1353" t="inlineStr"/>
      <c r="R1353" t="inlineStr"/>
      <c r="S1353">
        <f>HYPERLINK("https://helical-indexing-hi3d.streamlit.app/?emd_id=emd-25911&amp;rise=54.86447682&amp;twist=26.69077122&amp;csym=1&amp;rise2=27.4&amp;twist2=-166.7&amp;csym2=1", "Link")</f>
        <v/>
      </c>
    </row>
    <row r="1354">
      <c r="A1354" t="inlineStr">
        <is>
          <t>EMD-0070</t>
        </is>
      </c>
      <c r="B1354" t="inlineStr">
        <is>
          <t>non-amyloid</t>
        </is>
      </c>
      <c r="C1354" t="n">
        <v>8</v>
      </c>
      <c r="D1354" t="n">
        <v>11.2</v>
      </c>
      <c r="E1354" t="n">
        <v>96</v>
      </c>
      <c r="F1354" t="inlineStr">
        <is>
          <t>C1</t>
        </is>
      </c>
      <c r="G1354" t="inlineStr">
        <is>
          <t>11.2</t>
        </is>
      </c>
      <c r="H1354" t="n">
        <v>96</v>
      </c>
      <c r="I1354" t="inlineStr">
        <is>
          <t>C1</t>
        </is>
      </c>
      <c r="J1354" t="n">
        <v>0</v>
      </c>
      <c r="K1354" t="inlineStr"/>
      <c r="L1354" t="n">
        <v>0.99937</v>
      </c>
      <c r="M1354" t="n">
        <v>0.99937</v>
      </c>
      <c r="N1354" t="inlineStr">
        <is>
          <t>Yes</t>
        </is>
      </c>
      <c r="O1354" t="inlineStr">
        <is>
          <t>equal</t>
        </is>
      </c>
      <c r="P1354" t="inlineStr">
        <is>
          <t>deposited</t>
        </is>
      </c>
      <c r="Q1354" t="inlineStr"/>
      <c r="R1354" t="inlineStr"/>
      <c r="S1354">
        <f>HYPERLINK("https://helical-indexing-hi3d.streamlit.app/?emd_id=emd-0070&amp;rise=11.2&amp;twist=96.0&amp;csym=1&amp;rise2=11.2&amp;twist2=96.0&amp;csym2=1", "Link")</f>
        <v/>
      </c>
    </row>
    <row r="1355">
      <c r="A1355" t="inlineStr">
        <is>
          <t>EMD-3075</t>
        </is>
      </c>
      <c r="B1355" t="inlineStr">
        <is>
          <t>non-amyloid</t>
        </is>
      </c>
      <c r="C1355" t="n">
        <v>8</v>
      </c>
      <c r="D1355" t="n">
        <v>7.393</v>
      </c>
      <c r="E1355" t="n">
        <v>138.133</v>
      </c>
      <c r="F1355" t="inlineStr">
        <is>
          <t>C1</t>
        </is>
      </c>
      <c r="G1355" t="inlineStr">
        <is>
          <t>7.393</t>
        </is>
      </c>
      <c r="H1355" t="n">
        <v>138.133</v>
      </c>
      <c r="I1355" t="inlineStr">
        <is>
          <t>C1</t>
        </is>
      </c>
      <c r="J1355" t="n">
        <v>0</v>
      </c>
      <c r="K1355" t="inlineStr"/>
      <c r="L1355" t="n">
        <v>0.9996</v>
      </c>
      <c r="M1355" t="n">
        <v>0.9996</v>
      </c>
      <c r="N1355" t="inlineStr">
        <is>
          <t>Yes</t>
        </is>
      </c>
      <c r="O1355" t="inlineStr">
        <is>
          <t>equal</t>
        </is>
      </c>
      <c r="P1355" t="inlineStr">
        <is>
          <t>deposited</t>
        </is>
      </c>
      <c r="Q1355" t="inlineStr"/>
      <c r="R1355" t="inlineStr"/>
      <c r="S1355">
        <f>HYPERLINK("https://helical-indexing-hi3d.streamlit.app/?emd_id=emd-3075&amp;rise=7.393&amp;twist=138.133&amp;csym=1&amp;rise2=7.393&amp;twist2=138.133&amp;csym2=1", "Link")</f>
        <v/>
      </c>
    </row>
    <row r="1356">
      <c r="A1356" t="inlineStr">
        <is>
          <t>EMD-3076</t>
        </is>
      </c>
      <c r="B1356" t="inlineStr">
        <is>
          <t>non-amyloid</t>
        </is>
      </c>
      <c r="C1356" t="n">
        <v>8</v>
      </c>
      <c r="D1356" t="n">
        <v>7.393</v>
      </c>
      <c r="E1356" t="n">
        <v>138.133</v>
      </c>
      <c r="F1356" t="inlineStr">
        <is>
          <t>C1</t>
        </is>
      </c>
      <c r="G1356" t="inlineStr">
        <is>
          <t>7.393</t>
        </is>
      </c>
      <c r="H1356" t="n">
        <v>138.133</v>
      </c>
      <c r="I1356" t="inlineStr">
        <is>
          <t>C1</t>
        </is>
      </c>
      <c r="J1356" t="n">
        <v>0</v>
      </c>
      <c r="K1356" t="inlineStr"/>
      <c r="L1356" t="n">
        <v>0.99962</v>
      </c>
      <c r="M1356" t="n">
        <v>0.99962</v>
      </c>
      <c r="N1356" t="inlineStr">
        <is>
          <t>Yes</t>
        </is>
      </c>
      <c r="O1356" t="inlineStr">
        <is>
          <t>equal</t>
        </is>
      </c>
      <c r="P1356" t="inlineStr">
        <is>
          <t>deposited</t>
        </is>
      </c>
      <c r="Q1356" t="inlineStr"/>
      <c r="R1356" t="inlineStr"/>
      <c r="S1356">
        <f>HYPERLINK("https://helical-indexing-hi3d.streamlit.app/?emd_id=emd-3076&amp;rise=7.393&amp;twist=138.133&amp;csym=1&amp;rise2=7.393&amp;twist2=138.133&amp;csym2=1", "Link")</f>
        <v/>
      </c>
    </row>
    <row r="1357">
      <c r="A1357" t="inlineStr">
        <is>
          <t>EMD-25914</t>
        </is>
      </c>
      <c r="B1357" t="inlineStr">
        <is>
          <t>non-amyloid</t>
        </is>
      </c>
      <c r="C1357" t="n">
        <v>8</v>
      </c>
      <c r="D1357" t="n">
        <v>27.4</v>
      </c>
      <c r="E1357" t="n">
        <v>-166.7</v>
      </c>
      <c r="F1357" t="inlineStr">
        <is>
          <t>C1</t>
        </is>
      </c>
      <c r="G1357" t="inlineStr">
        <is>
          <t>27.48463713</t>
        </is>
      </c>
      <c r="H1357" t="n">
        <v>-166.6383021</v>
      </c>
      <c r="I1357" t="inlineStr">
        <is>
          <t>C1</t>
        </is>
      </c>
      <c r="J1357" t="n">
        <v>0.085365055</v>
      </c>
      <c r="K1357" t="inlineStr"/>
      <c r="L1357" t="n">
        <v>0.83977</v>
      </c>
      <c r="M1357" t="n">
        <v>0.841126296</v>
      </c>
      <c r="N1357" t="inlineStr">
        <is>
          <t>Yes</t>
        </is>
      </c>
      <c r="O1357" t="inlineStr">
        <is>
          <t>improve</t>
        </is>
      </c>
      <c r="P1357" t="inlineStr">
        <is>
          <t>adjusted decimals</t>
        </is>
      </c>
      <c r="Q1357" t="inlineStr"/>
      <c r="R1357" t="inlineStr"/>
      <c r="S1357">
        <f>HYPERLINK("https://helical-indexing-hi3d.streamlit.app/?emd_id=emd-25914&amp;rise=27.48463713&amp;twist=-166.6383021&amp;csym=1&amp;rise2=27.4&amp;twist2=-166.7&amp;csym2=1", "Link")</f>
        <v/>
      </c>
    </row>
    <row r="1358">
      <c r="A1358" t="inlineStr">
        <is>
          <t>EMD-3667</t>
        </is>
      </c>
      <c r="B1358" t="inlineStr">
        <is>
          <t>non-amyloid</t>
        </is>
      </c>
      <c r="C1358" t="n">
        <v>8</v>
      </c>
      <c r="D1358" t="n">
        <v>27.4</v>
      </c>
      <c r="E1358" t="n">
        <v>-166.8</v>
      </c>
      <c r="F1358" t="inlineStr">
        <is>
          <t>C1</t>
        </is>
      </c>
      <c r="G1358" t="inlineStr">
        <is>
          <t>27.4</t>
        </is>
      </c>
      <c r="H1358" t="n">
        <v>-166.8</v>
      </c>
      <c r="I1358" t="inlineStr">
        <is>
          <t>C1</t>
        </is>
      </c>
      <c r="J1358" t="n">
        <v>0</v>
      </c>
      <c r="K1358" t="inlineStr"/>
      <c r="L1358" t="n">
        <v>0.99887</v>
      </c>
      <c r="M1358" t="n">
        <v>0.99887</v>
      </c>
      <c r="N1358" t="inlineStr">
        <is>
          <t>Yes</t>
        </is>
      </c>
      <c r="O1358" t="inlineStr">
        <is>
          <t>equal</t>
        </is>
      </c>
      <c r="P1358" t="inlineStr">
        <is>
          <t>deposited</t>
        </is>
      </c>
      <c r="Q1358" t="inlineStr"/>
      <c r="R1358" t="inlineStr"/>
      <c r="S1358">
        <f>HYPERLINK("https://helical-indexing-hi3d.streamlit.app/?emd_id=emd-3667&amp;rise=27.4&amp;twist=-166.8&amp;csym=1&amp;rise2=27.4&amp;twist2=-166.8&amp;csym2=1", "Link")</f>
        <v/>
      </c>
    </row>
    <row r="1359">
      <c r="A1359" t="inlineStr">
        <is>
          <t>EMD-5011</t>
        </is>
      </c>
      <c r="B1359" t="inlineStr">
        <is>
          <t>microtubule</t>
        </is>
      </c>
      <c r="C1359" t="n">
        <v>8</v>
      </c>
      <c r="D1359" t="inlineStr"/>
      <c r="E1359" t="inlineStr"/>
      <c r="F1359" t="inlineStr"/>
      <c r="G1359" t="inlineStr">
        <is>
          <t>9.228297086</t>
        </is>
      </c>
      <c r="H1359" t="n">
        <v>-27.69215593</v>
      </c>
      <c r="I1359" t="inlineStr">
        <is>
          <t>C1</t>
        </is>
      </c>
      <c r="J1359" t="inlineStr"/>
      <c r="K1359" t="inlineStr">
        <is>
          <t> </t>
        </is>
      </c>
      <c r="L1359" t="inlineStr"/>
      <c r="M1359" t="n">
        <v>0.913586423</v>
      </c>
      <c r="N1359" t="inlineStr">
        <is>
          <t>Yes</t>
        </is>
      </c>
      <c r="O1359" t="inlineStr">
        <is>
          <t>improve</t>
        </is>
      </c>
      <c r="P1359" t="inlineStr">
        <is>
          <t>no EMDB values</t>
        </is>
      </c>
      <c r="Q1359" t="inlineStr"/>
      <c r="R1359" t="inlineStr"/>
      <c r="S1359" t="inlineStr"/>
    </row>
    <row r="1360">
      <c r="A1360" t="inlineStr">
        <is>
          <t>EMD-1731</t>
        </is>
      </c>
      <c r="B1360" t="inlineStr">
        <is>
          <t>microtubule</t>
        </is>
      </c>
      <c r="C1360" t="n">
        <v>8</v>
      </c>
      <c r="D1360" t="n">
        <v>22.2</v>
      </c>
      <c r="E1360" t="n">
        <v>54.3</v>
      </c>
      <c r="F1360" t="inlineStr"/>
      <c r="G1360" t="inlineStr">
        <is>
          <t>21.80443648</t>
        </is>
      </c>
      <c r="H1360" t="n">
        <v>-54.04205364</v>
      </c>
      <c r="I1360" t="inlineStr">
        <is>
          <t>C1</t>
        </is>
      </c>
      <c r="J1360" t="n">
        <v>95.48089251241731</v>
      </c>
      <c r="K1360" t="inlineStr">
        <is>
          <t> </t>
        </is>
      </c>
      <c r="L1360" t="n">
        <v>0.57786</v>
      </c>
      <c r="M1360" t="n">
        <v>0.980122367</v>
      </c>
      <c r="N1360" t="inlineStr">
        <is>
          <t>Yes</t>
        </is>
      </c>
      <c r="O1360" t="inlineStr">
        <is>
          <t>improve</t>
        </is>
      </c>
      <c r="P1360" t="inlineStr">
        <is>
          <t>twist sign</t>
        </is>
      </c>
      <c r="Q1360" t="inlineStr"/>
      <c r="R1360" t="inlineStr"/>
      <c r="S1360" t="inlineStr"/>
    </row>
    <row r="1361">
      <c r="A1361" t="inlineStr">
        <is>
          <t>EMD-1240</t>
        </is>
      </c>
      <c r="B1361" t="inlineStr">
        <is>
          <t>non-amyloid</t>
        </is>
      </c>
      <c r="C1361" t="n">
        <v>8</v>
      </c>
      <c r="D1361" t="n">
        <v>17.4</v>
      </c>
      <c r="E1361" t="n">
        <v>37.4</v>
      </c>
      <c r="F1361" t="inlineStr">
        <is>
          <t>C5</t>
        </is>
      </c>
      <c r="G1361" t="inlineStr">
        <is>
          <t>17.4</t>
        </is>
      </c>
      <c r="H1361" t="n">
        <v>37.4</v>
      </c>
      <c r="I1361" t="inlineStr">
        <is>
          <t>C5</t>
        </is>
      </c>
      <c r="J1361" t="n">
        <v>0</v>
      </c>
      <c r="K1361" t="inlineStr"/>
      <c r="L1361" t="n">
        <v>0.9852</v>
      </c>
      <c r="M1361" t="n">
        <v>0.9852</v>
      </c>
      <c r="N1361" t="inlineStr">
        <is>
          <t>Yes</t>
        </is>
      </c>
      <c r="O1361" t="inlineStr">
        <is>
          <t>equal</t>
        </is>
      </c>
      <c r="P1361" t="inlineStr">
        <is>
          <t>deposited</t>
        </is>
      </c>
      <c r="Q1361" t="inlineStr"/>
      <c r="R1361" t="inlineStr"/>
      <c r="S1361">
        <f>HYPERLINK("https://helical-indexing-hi3d.streamlit.app/?emd_id=emd-1240&amp;rise=17.4&amp;twist=37.4&amp;csym=5&amp;rise2=17.4&amp;twist2=37.4&amp;csym2=5", "Link")</f>
        <v/>
      </c>
    </row>
    <row r="1362">
      <c r="A1362" t="inlineStr">
        <is>
          <t>EMD-25918</t>
        </is>
      </c>
      <c r="B1362" t="inlineStr">
        <is>
          <t>non-amyloid</t>
        </is>
      </c>
      <c r="C1362" t="n">
        <v>8</v>
      </c>
      <c r="D1362" t="n">
        <v>27.4</v>
      </c>
      <c r="E1362" t="n">
        <v>-166.7</v>
      </c>
      <c r="F1362" t="inlineStr">
        <is>
          <t>C1</t>
        </is>
      </c>
      <c r="G1362" t="inlineStr">
        <is>
          <t>27.4</t>
        </is>
      </c>
      <c r="H1362" t="n">
        <v>-166.7</v>
      </c>
      <c r="I1362" t="inlineStr">
        <is>
          <t>C1</t>
        </is>
      </c>
      <c r="J1362" t="n">
        <v>0</v>
      </c>
      <c r="K1362" t="inlineStr"/>
      <c r="L1362" t="n">
        <v>0.798300596</v>
      </c>
      <c r="M1362" t="n">
        <v>0.798300596</v>
      </c>
      <c r="N1362" t="inlineStr">
        <is>
          <t>Yes</t>
        </is>
      </c>
      <c r="O1362" t="inlineStr">
        <is>
          <t>equal</t>
        </is>
      </c>
      <c r="P1362" t="inlineStr">
        <is>
          <t>deposited</t>
        </is>
      </c>
      <c r="Q1362" t="inlineStr"/>
      <c r="R1362" t="inlineStr"/>
      <c r="S1362">
        <f>HYPERLINK("https://helical-indexing-hi3d.streamlit.app/?emd_id=emd-25918&amp;rise=27.4&amp;twist=-166.7&amp;csym=1&amp;rise2=27.4&amp;twist2=-166.7&amp;csym2=1", "Link")</f>
        <v/>
      </c>
    </row>
    <row r="1363">
      <c r="A1363" t="inlineStr">
        <is>
          <t>EMD-2089</t>
        </is>
      </c>
      <c r="B1363" t="inlineStr">
        <is>
          <t>non-amyloid</t>
        </is>
      </c>
      <c r="C1363" t="n">
        <v>8</v>
      </c>
      <c r="D1363" t="inlineStr"/>
      <c r="E1363" t="inlineStr"/>
      <c r="F1363" t="inlineStr"/>
      <c r="G1363" t="inlineStr"/>
      <c r="H1363" t="inlineStr"/>
      <c r="I1363" t="inlineStr">
        <is>
          <t>C1</t>
        </is>
      </c>
      <c r="J1363" t="inlineStr"/>
      <c r="K1363" t="inlineStr"/>
      <c r="L1363" t="inlineStr"/>
      <c r="M1363" t="inlineStr"/>
      <c r="N1363" t="inlineStr">
        <is>
          <t>No</t>
        </is>
      </c>
      <c r="O1363" t="inlineStr"/>
      <c r="P1363" t="inlineStr">
        <is>
          <t>single unit</t>
        </is>
      </c>
      <c r="Q1363" t="inlineStr"/>
      <c r="R1363" t="inlineStr"/>
      <c r="S1363" t="inlineStr"/>
    </row>
    <row r="1364">
      <c r="A1364" t="inlineStr">
        <is>
          <t>EMD-8740</t>
        </is>
      </c>
      <c r="B1364" t="inlineStr">
        <is>
          <t>non-amyloid</t>
        </is>
      </c>
      <c r="C1364" t="n">
        <v>8</v>
      </c>
      <c r="D1364" t="n">
        <v>10.5</v>
      </c>
      <c r="E1364" t="n">
        <v>87.3</v>
      </c>
      <c r="F1364" t="inlineStr">
        <is>
          <t>C1</t>
        </is>
      </c>
      <c r="G1364" t="inlineStr">
        <is>
          <t>10.5</t>
        </is>
      </c>
      <c r="H1364" t="n">
        <v>87.3</v>
      </c>
      <c r="I1364" t="inlineStr">
        <is>
          <t>C1</t>
        </is>
      </c>
      <c r="J1364" t="n">
        <v>0</v>
      </c>
      <c r="K1364" t="inlineStr"/>
      <c r="L1364" t="n">
        <v>0.99832</v>
      </c>
      <c r="M1364" t="n">
        <v>0.99832</v>
      </c>
      <c r="N1364" t="inlineStr">
        <is>
          <t>Yes</t>
        </is>
      </c>
      <c r="O1364" t="inlineStr">
        <is>
          <t>equal</t>
        </is>
      </c>
      <c r="P1364" t="inlineStr">
        <is>
          <t>deposited</t>
        </is>
      </c>
      <c r="Q1364" t="inlineStr"/>
      <c r="R1364" t="inlineStr"/>
      <c r="S1364">
        <f>HYPERLINK("https://helical-indexing-hi3d.streamlit.app/?emd_id=emd-8740&amp;rise=10.5&amp;twist=87.3&amp;csym=1&amp;rise2=10.5&amp;twist2=87.3&amp;csym2=1", "Link")</f>
        <v/>
      </c>
    </row>
    <row r="1365">
      <c r="A1365" t="inlineStr">
        <is>
          <t>EMD-1989</t>
        </is>
      </c>
      <c r="B1365" t="inlineStr">
        <is>
          <t>non-amyloid</t>
        </is>
      </c>
      <c r="C1365" t="n">
        <v>8.1</v>
      </c>
      <c r="D1365" t="n">
        <v>27.6</v>
      </c>
      <c r="E1365" t="n">
        <v>166.5</v>
      </c>
      <c r="F1365" t="inlineStr"/>
      <c r="G1365" t="inlineStr">
        <is>
          <t>27.56841489</t>
        </is>
      </c>
      <c r="H1365" t="n">
        <v>-166.4099517</v>
      </c>
      <c r="I1365" t="inlineStr">
        <is>
          <t>Cnan</t>
        </is>
      </c>
      <c r="J1365" t="n">
        <v>7.147532344085002</v>
      </c>
      <c r="K1365" t="inlineStr">
        <is>
          <t> </t>
        </is>
      </c>
      <c r="L1365" t="n">
        <v>0.43885</v>
      </c>
      <c r="M1365" t="n">
        <v>0.995140293</v>
      </c>
      <c r="N1365" t="inlineStr">
        <is>
          <t>Yes</t>
        </is>
      </c>
      <c r="O1365" t="inlineStr">
        <is>
          <t>improve</t>
        </is>
      </c>
      <c r="P1365" t="inlineStr">
        <is>
          <t>twist sign</t>
        </is>
      </c>
      <c r="Q1365" t="inlineStr"/>
      <c r="R1365" t="inlineStr"/>
      <c r="S1365" t="inlineStr"/>
    </row>
    <row r="1366">
      <c r="A1366" t="inlineStr">
        <is>
          <t>EMD-10374</t>
        </is>
      </c>
      <c r="B1366" t="inlineStr">
        <is>
          <t>non-amyloid</t>
        </is>
      </c>
      <c r="C1366" t="n">
        <v>8.1</v>
      </c>
      <c r="D1366" t="n">
        <v>4</v>
      </c>
      <c r="E1366" t="n">
        <v>-40.8</v>
      </c>
      <c r="F1366" t="inlineStr">
        <is>
          <t>C1</t>
        </is>
      </c>
      <c r="G1366" t="inlineStr">
        <is>
          <t>4</t>
        </is>
      </c>
      <c r="H1366" t="n">
        <v>-40.8</v>
      </c>
      <c r="I1366" t="inlineStr">
        <is>
          <t>C1</t>
        </is>
      </c>
      <c r="J1366" t="n">
        <v>0</v>
      </c>
      <c r="K1366" t="inlineStr"/>
      <c r="L1366" t="n">
        <v>0.97272</v>
      </c>
      <c r="M1366" t="n">
        <v>0.97272</v>
      </c>
      <c r="N1366" t="inlineStr">
        <is>
          <t>Yes</t>
        </is>
      </c>
      <c r="O1366" t="inlineStr">
        <is>
          <t>equal</t>
        </is>
      </c>
      <c r="P1366" t="inlineStr">
        <is>
          <t>deposited</t>
        </is>
      </c>
      <c r="Q1366" t="inlineStr"/>
      <c r="R1366" t="inlineStr"/>
      <c r="S1366">
        <f>HYPERLINK("https://helical-indexing-hi3d.streamlit.app/?emd_id=emd-10374&amp;rise=4&amp;twist=-40.8&amp;csym=1&amp;rise2=4.0&amp;twist2=-40.8&amp;csym2=1", "Link")</f>
        <v/>
      </c>
    </row>
    <row r="1367">
      <c r="A1367" t="inlineStr">
        <is>
          <t>EMD-5931</t>
        </is>
      </c>
      <c r="B1367" t="inlineStr">
        <is>
          <t>microtubule</t>
        </is>
      </c>
      <c r="C1367" t="n">
        <v>8.199999999999999</v>
      </c>
      <c r="D1367" t="n">
        <v>11</v>
      </c>
      <c r="E1367" t="n">
        <v>23.8</v>
      </c>
      <c r="F1367" t="inlineStr">
        <is>
          <t>C1</t>
        </is>
      </c>
      <c r="G1367" t="inlineStr"/>
      <c r="H1367" t="inlineStr"/>
      <c r="I1367" t="inlineStr">
        <is>
          <t>C1</t>
        </is>
      </c>
      <c r="J1367" t="inlineStr"/>
      <c r="K1367" t="inlineStr"/>
      <c r="L1367" t="inlineStr"/>
      <c r="M1367" t="inlineStr"/>
      <c r="N1367" t="inlineStr">
        <is>
          <t>No</t>
        </is>
      </c>
      <c r="O1367" t="inlineStr"/>
      <c r="P1367" t="inlineStr">
        <is>
          <t>single unit</t>
        </is>
      </c>
      <c r="Q1367" t="inlineStr"/>
      <c r="R1367" t="inlineStr"/>
      <c r="S1367">
        <f>HYPERLINK("https://helical-indexing-hi3d.streamlit.app/?emd_id=emd-5931&amp;rise=nan&amp;twist=nan&amp;csym=1&amp;rise2=11.0&amp;twist2=23.8&amp;csym2=1", "Link")</f>
        <v/>
      </c>
    </row>
    <row r="1368">
      <c r="A1368" t="inlineStr">
        <is>
          <t>EMD-2098</t>
        </is>
      </c>
      <c r="B1368" t="inlineStr">
        <is>
          <t>microtubule</t>
        </is>
      </c>
      <c r="C1368" t="n">
        <v>8.199999999999999</v>
      </c>
      <c r="D1368" t="n">
        <v>9.199999999999999</v>
      </c>
      <c r="E1368" t="n">
        <v>27.7</v>
      </c>
      <c r="F1368" t="inlineStr"/>
      <c r="G1368" t="inlineStr"/>
      <c r="H1368" t="inlineStr"/>
      <c r="I1368" t="inlineStr">
        <is>
          <t>C1</t>
        </is>
      </c>
      <c r="J1368" t="inlineStr"/>
      <c r="K1368" t="inlineStr"/>
      <c r="L1368" t="inlineStr"/>
      <c r="M1368" t="inlineStr"/>
      <c r="N1368" t="inlineStr">
        <is>
          <t>No</t>
        </is>
      </c>
      <c r="O1368" t="inlineStr"/>
      <c r="P1368" t="inlineStr">
        <is>
          <t>single unit</t>
        </is>
      </c>
      <c r="Q1368" t="inlineStr"/>
      <c r="R1368" t="inlineStr"/>
      <c r="S1368" t="inlineStr"/>
    </row>
    <row r="1369">
      <c r="A1369" t="inlineStr">
        <is>
          <t>EMD-0735</t>
        </is>
      </c>
      <c r="B1369" t="inlineStr">
        <is>
          <t>non-amyloid</t>
        </is>
      </c>
      <c r="C1369" t="n">
        <v>8.199999999999999</v>
      </c>
      <c r="D1369" t="n">
        <v>13.557</v>
      </c>
      <c r="E1369" t="n">
        <v>-142.167</v>
      </c>
      <c r="F1369" t="inlineStr">
        <is>
          <t>C1</t>
        </is>
      </c>
      <c r="G1369" t="inlineStr">
        <is>
          <t>13.557</t>
        </is>
      </c>
      <c r="H1369" t="n">
        <v>-142.167</v>
      </c>
      <c r="I1369" t="inlineStr">
        <is>
          <t>C1</t>
        </is>
      </c>
      <c r="J1369" t="n">
        <v>0</v>
      </c>
      <c r="K1369" t="inlineStr"/>
      <c r="L1369" t="n">
        <v>0.98305</v>
      </c>
      <c r="M1369" t="n">
        <v>0.98305</v>
      </c>
      <c r="N1369" t="inlineStr">
        <is>
          <t>Yes</t>
        </is>
      </c>
      <c r="O1369" t="inlineStr">
        <is>
          <t>equal</t>
        </is>
      </c>
      <c r="P1369" t="inlineStr">
        <is>
          <t>deposited</t>
        </is>
      </c>
      <c r="Q1369" t="inlineStr"/>
      <c r="R1369" t="inlineStr"/>
      <c r="S1369">
        <f>HYPERLINK("https://helical-indexing-hi3d.streamlit.app/?emd_id=emd-0735&amp;rise=13.557&amp;twist=-142.167&amp;csym=1&amp;rise2=13.557&amp;twist2=-142.167&amp;csym2=1", "Link")</f>
        <v/>
      </c>
    </row>
    <row r="1370">
      <c r="A1370" t="inlineStr">
        <is>
          <t>EMD-6447</t>
        </is>
      </c>
      <c r="B1370" t="inlineStr">
        <is>
          <t>non-amyloid</t>
        </is>
      </c>
      <c r="C1370" t="n">
        <v>8.199999999999999</v>
      </c>
      <c r="D1370" t="n">
        <v>27.8</v>
      </c>
      <c r="E1370" t="n">
        <v>166.75</v>
      </c>
      <c r="F1370" t="inlineStr">
        <is>
          <t>C1</t>
        </is>
      </c>
      <c r="G1370" t="inlineStr">
        <is>
          <t>27.8</t>
        </is>
      </c>
      <c r="H1370" t="n">
        <v>-166.75</v>
      </c>
      <c r="I1370" t="inlineStr">
        <is>
          <t>C1</t>
        </is>
      </c>
      <c r="J1370" t="n">
        <v>4.163548019865417</v>
      </c>
      <c r="K1370" t="inlineStr"/>
      <c r="L1370" t="n">
        <v>0.53484</v>
      </c>
      <c r="M1370" t="n">
        <v>0.973044157</v>
      </c>
      <c r="N1370" t="inlineStr">
        <is>
          <t>Yes</t>
        </is>
      </c>
      <c r="O1370" t="inlineStr">
        <is>
          <t>improve</t>
        </is>
      </c>
      <c r="P1370" t="inlineStr">
        <is>
          <t>twist sign</t>
        </is>
      </c>
      <c r="Q1370" t="inlineStr"/>
      <c r="R1370" t="inlineStr"/>
      <c r="S1370">
        <f>HYPERLINK("https://helical-indexing-hi3d.streamlit.app/?emd_id=emd-6447&amp;rise=27.8&amp;twist=-166.75&amp;csym=1&amp;rise2=27.8&amp;twist2=166.75&amp;csym2=1", "Link")</f>
        <v/>
      </c>
    </row>
    <row r="1371">
      <c r="A1371" t="inlineStr">
        <is>
          <t>EMD-1788</t>
        </is>
      </c>
      <c r="B1371" t="inlineStr">
        <is>
          <t>microtubule</t>
        </is>
      </c>
      <c r="C1371" t="n">
        <v>8.199999999999999</v>
      </c>
      <c r="D1371" t="inlineStr"/>
      <c r="E1371" t="inlineStr"/>
      <c r="F1371" t="inlineStr"/>
      <c r="G1371" t="inlineStr"/>
      <c r="H1371" t="inlineStr"/>
      <c r="I1371" t="inlineStr">
        <is>
          <t>C1</t>
        </is>
      </c>
      <c r="J1371" t="inlineStr"/>
      <c r="K1371" t="inlineStr"/>
      <c r="L1371" t="inlineStr"/>
      <c r="M1371" t="inlineStr"/>
      <c r="N1371" t="inlineStr">
        <is>
          <t>No</t>
        </is>
      </c>
      <c r="O1371" t="inlineStr"/>
      <c r="P1371" t="inlineStr">
        <is>
          <t>single unit</t>
        </is>
      </c>
      <c r="Q1371" t="inlineStr"/>
      <c r="R1371" t="inlineStr"/>
      <c r="S1371" t="inlineStr"/>
    </row>
    <row r="1372">
      <c r="A1372" t="inlineStr">
        <is>
          <t>EMD-2095</t>
        </is>
      </c>
      <c r="B1372" t="inlineStr">
        <is>
          <t>microtubule</t>
        </is>
      </c>
      <c r="C1372" t="n">
        <v>8.300000000000001</v>
      </c>
      <c r="D1372" t="n">
        <v>9.199999999999999</v>
      </c>
      <c r="E1372" t="n">
        <v>27.7</v>
      </c>
      <c r="F1372" t="inlineStr"/>
      <c r="G1372" t="inlineStr"/>
      <c r="H1372" t="inlineStr"/>
      <c r="I1372" t="inlineStr">
        <is>
          <t>C1</t>
        </is>
      </c>
      <c r="J1372" t="inlineStr"/>
      <c r="K1372" t="inlineStr"/>
      <c r="L1372" t="inlineStr"/>
      <c r="M1372" t="inlineStr"/>
      <c r="N1372" t="inlineStr">
        <is>
          <t>No</t>
        </is>
      </c>
      <c r="O1372" t="inlineStr"/>
      <c r="P1372" t="inlineStr">
        <is>
          <t>single unit</t>
        </is>
      </c>
      <c r="Q1372" t="inlineStr"/>
      <c r="R1372" t="inlineStr"/>
      <c r="S1372" t="inlineStr"/>
    </row>
    <row r="1373">
      <c r="A1373" t="inlineStr">
        <is>
          <t>EMD-6439</t>
        </is>
      </c>
      <c r="B1373" t="inlineStr">
        <is>
          <t>non-amyloid</t>
        </is>
      </c>
      <c r="C1373" t="n">
        <v>8.300000000000001</v>
      </c>
      <c r="D1373" t="n">
        <v>21.2</v>
      </c>
      <c r="E1373" t="n">
        <v>22.1</v>
      </c>
      <c r="F1373" t="inlineStr">
        <is>
          <t>C6</t>
        </is>
      </c>
      <c r="G1373" t="inlineStr">
        <is>
          <t>21.2</t>
        </is>
      </c>
      <c r="H1373" t="n">
        <v>-22.1</v>
      </c>
      <c r="I1373" t="inlineStr">
        <is>
          <t>C6</t>
        </is>
      </c>
      <c r="J1373" t="n">
        <v>17.85868275679368</v>
      </c>
      <c r="K1373" t="inlineStr">
        <is>
          <t> </t>
        </is>
      </c>
      <c r="L1373" t="n">
        <v>0.16515</v>
      </c>
      <c r="M1373" t="n">
        <v>0.9426600000000001</v>
      </c>
      <c r="N1373" t="inlineStr">
        <is>
          <t>Yes</t>
        </is>
      </c>
      <c r="O1373" t="inlineStr">
        <is>
          <t>improve</t>
        </is>
      </c>
      <c r="P1373" t="inlineStr">
        <is>
          <t>twist sign</t>
        </is>
      </c>
      <c r="Q1373" t="inlineStr"/>
      <c r="R1373" t="inlineStr"/>
      <c r="S1373">
        <f>HYPERLINK("https://helical-indexing-hi3d.streamlit.app/?emd_id=emd-6439&amp;rise=21.2&amp;twist=-22.1&amp;csym=6&amp;rise2=21.2&amp;twist2=22.1&amp;csym2=6", "Link")</f>
        <v/>
      </c>
    </row>
    <row r="1374">
      <c r="A1374" t="inlineStr">
        <is>
          <t>EMD-2700</t>
        </is>
      </c>
      <c r="B1374" t="inlineStr">
        <is>
          <t>non-amyloid</t>
        </is>
      </c>
      <c r="C1374" t="n">
        <v>8.4</v>
      </c>
      <c r="D1374" t="n">
        <v>79.40000000000001</v>
      </c>
      <c r="E1374" t="n">
        <v>48.3</v>
      </c>
      <c r="F1374" t="inlineStr">
        <is>
          <t>C2</t>
        </is>
      </c>
      <c r="G1374" t="inlineStr">
        <is>
          <t>79.4</t>
        </is>
      </c>
      <c r="H1374" t="n">
        <v>48.3</v>
      </c>
      <c r="I1374" t="inlineStr">
        <is>
          <t>C2</t>
        </is>
      </c>
      <c r="J1374" t="n">
        <v>0</v>
      </c>
      <c r="K1374" t="inlineStr"/>
      <c r="L1374" t="n">
        <v>0.98774</v>
      </c>
      <c r="M1374" t="n">
        <v>0.98774</v>
      </c>
      <c r="N1374" t="inlineStr">
        <is>
          <t>Yes</t>
        </is>
      </c>
      <c r="O1374" t="inlineStr">
        <is>
          <t>equal</t>
        </is>
      </c>
      <c r="P1374" t="inlineStr">
        <is>
          <t>deposited</t>
        </is>
      </c>
      <c r="Q1374" t="inlineStr"/>
      <c r="R1374" t="inlineStr"/>
      <c r="S1374">
        <f>HYPERLINK("https://helical-indexing-hi3d.streamlit.app/?emd_id=emd-2700&amp;rise=79.4&amp;twist=48.3&amp;csym=2&amp;rise2=79.4&amp;twist2=48.3&amp;csym2=2", "Link")</f>
        <v/>
      </c>
    </row>
    <row r="1375">
      <c r="A1375" t="inlineStr">
        <is>
          <t>EMD-19430</t>
        </is>
      </c>
      <c r="B1375" t="inlineStr">
        <is>
          <t>non-amyloid</t>
        </is>
      </c>
      <c r="C1375" t="n">
        <v>8.4</v>
      </c>
      <c r="D1375" t="n">
        <v>35.3</v>
      </c>
      <c r="E1375" t="n">
        <v>26.3</v>
      </c>
      <c r="F1375" t="inlineStr">
        <is>
          <t>C1</t>
        </is>
      </c>
      <c r="G1375" t="inlineStr">
        <is>
          <t>35.3</t>
        </is>
      </c>
      <c r="H1375" t="n">
        <v>26.3</v>
      </c>
      <c r="I1375" t="inlineStr">
        <is>
          <t>C1</t>
        </is>
      </c>
      <c r="J1375" t="n">
        <v>0</v>
      </c>
      <c r="K1375" t="inlineStr"/>
      <c r="L1375" t="n">
        <v>0.96083</v>
      </c>
      <c r="M1375" t="n">
        <v>0.96083</v>
      </c>
      <c r="N1375" t="inlineStr">
        <is>
          <t>Yes</t>
        </is>
      </c>
      <c r="O1375" t="inlineStr">
        <is>
          <t>equal</t>
        </is>
      </c>
      <c r="P1375" t="inlineStr">
        <is>
          <t>deposited</t>
        </is>
      </c>
      <c r="Q1375" t="inlineStr"/>
      <c r="R1375" t="inlineStr"/>
      <c r="S1375">
        <f>HYPERLINK("https://helical-indexing-hi3d.streamlit.app/?emd_id=emd-19430&amp;rise=35.3&amp;twist=26.3&amp;csym=1&amp;rise2=35.3&amp;twist2=26.3&amp;csym2=1", "Link")</f>
        <v/>
      </c>
    </row>
    <row r="1376">
      <c r="A1376" t="inlineStr">
        <is>
          <t>EMD-6449</t>
        </is>
      </c>
      <c r="B1376" t="inlineStr">
        <is>
          <t>non-amyloid</t>
        </is>
      </c>
      <c r="C1376" t="n">
        <v>8.5</v>
      </c>
      <c r="D1376" t="n">
        <v>27.8</v>
      </c>
      <c r="E1376" t="n">
        <v>166.82</v>
      </c>
      <c r="F1376" t="inlineStr">
        <is>
          <t>C1</t>
        </is>
      </c>
      <c r="G1376" t="inlineStr">
        <is>
          <t>27.8</t>
        </is>
      </c>
      <c r="H1376" t="n">
        <v>-166.82</v>
      </c>
      <c r="I1376" t="inlineStr">
        <is>
          <t>C1</t>
        </is>
      </c>
      <c r="J1376" t="n">
        <v>3.993728092074248</v>
      </c>
      <c r="K1376" t="inlineStr"/>
      <c r="L1376" t="n">
        <v>0.7552</v>
      </c>
      <c r="M1376" t="n">
        <v>0.99113452</v>
      </c>
      <c r="N1376" t="inlineStr">
        <is>
          <t>Yes</t>
        </is>
      </c>
      <c r="O1376" t="inlineStr">
        <is>
          <t>improve</t>
        </is>
      </c>
      <c r="P1376" t="inlineStr">
        <is>
          <t>twist sign</t>
        </is>
      </c>
      <c r="Q1376" t="inlineStr"/>
      <c r="R1376" t="inlineStr"/>
      <c r="S1376">
        <f>HYPERLINK("https://helical-indexing-hi3d.streamlit.app/?emd_id=emd-6449&amp;rise=27.8&amp;twist=-166.82&amp;csym=1&amp;rise2=27.8&amp;twist2=166.82&amp;csym2=1", "Link")</f>
        <v/>
      </c>
    </row>
    <row r="1377">
      <c r="A1377" t="inlineStr">
        <is>
          <t>EMD-6446</t>
        </is>
      </c>
      <c r="B1377" t="inlineStr">
        <is>
          <t>non-amyloid</t>
        </is>
      </c>
      <c r="C1377" t="n">
        <v>8.5</v>
      </c>
      <c r="D1377" t="n">
        <v>27.8</v>
      </c>
      <c r="E1377" t="n">
        <v>166.82</v>
      </c>
      <c r="F1377" t="inlineStr">
        <is>
          <t>C1</t>
        </is>
      </c>
      <c r="G1377" t="inlineStr">
        <is>
          <t>27.72919406</t>
        </is>
      </c>
      <c r="H1377" t="n">
        <v>-166.4153727</v>
      </c>
      <c r="I1377" t="inlineStr">
        <is>
          <t>C1</t>
        </is>
      </c>
      <c r="J1377" t="n">
        <v>3.788955976422465</v>
      </c>
      <c r="K1377" t="inlineStr">
        <is>
          <t> </t>
        </is>
      </c>
      <c r="L1377" t="n">
        <v>0.57021</v>
      </c>
      <c r="M1377" t="n">
        <v>0.978424644</v>
      </c>
      <c r="N1377" t="inlineStr">
        <is>
          <t>Yes</t>
        </is>
      </c>
      <c r="O1377" t="inlineStr">
        <is>
          <t>improve</t>
        </is>
      </c>
      <c r="P1377" t="inlineStr">
        <is>
          <t>twist sign</t>
        </is>
      </c>
      <c r="Q1377" t="inlineStr"/>
      <c r="R1377" t="inlineStr"/>
      <c r="S1377">
        <f>HYPERLINK("https://helical-indexing-hi3d.streamlit.app/?emd_id=emd-6446&amp;rise=27.72919406&amp;twist=-166.4153727&amp;csym=1&amp;rise2=27.8&amp;twist2=166.82&amp;csym2=1", "Link")</f>
        <v/>
      </c>
    </row>
    <row r="1378">
      <c r="A1378" t="inlineStr">
        <is>
          <t>EMD-12096</t>
        </is>
      </c>
      <c r="B1378" t="inlineStr">
        <is>
          <t>non-amyloid</t>
        </is>
      </c>
      <c r="C1378" t="n">
        <v>8.5</v>
      </c>
      <c r="D1378" t="n">
        <v>15.0274</v>
      </c>
      <c r="E1378" t="n">
        <v>-158.874</v>
      </c>
      <c r="F1378" t="inlineStr">
        <is>
          <t>C1</t>
        </is>
      </c>
      <c r="G1378" t="inlineStr">
        <is>
          <t>15.0274</t>
        </is>
      </c>
      <c r="H1378" t="n">
        <v>-158.874</v>
      </c>
      <c r="I1378" t="inlineStr">
        <is>
          <t>C1</t>
        </is>
      </c>
      <c r="J1378" t="n">
        <v>0</v>
      </c>
      <c r="K1378" t="inlineStr"/>
      <c r="L1378" t="n">
        <v>0.83853</v>
      </c>
      <c r="M1378" t="n">
        <v>0.83853</v>
      </c>
      <c r="N1378" t="inlineStr">
        <is>
          <t>Yes</t>
        </is>
      </c>
      <c r="O1378" t="inlineStr">
        <is>
          <t>equal</t>
        </is>
      </c>
      <c r="P1378" t="inlineStr">
        <is>
          <t>deposited</t>
        </is>
      </c>
      <c r="Q1378" t="inlineStr"/>
      <c r="R1378" t="inlineStr"/>
      <c r="S1378">
        <f>HYPERLINK("https://helical-indexing-hi3d.streamlit.app/?emd_id=emd-12096&amp;rise=15.0274&amp;twist=-158.874&amp;csym=1&amp;rise2=15.0274&amp;twist2=-158.874&amp;csym2=1", "Link")</f>
        <v/>
      </c>
    </row>
    <row r="1379">
      <c r="A1379" t="inlineStr">
        <is>
          <t>EMD-2946</t>
        </is>
      </c>
      <c r="B1379" t="inlineStr">
        <is>
          <t>non-amyloid</t>
        </is>
      </c>
      <c r="C1379" t="n">
        <v>8.5</v>
      </c>
      <c r="D1379" t="n">
        <v>18.8</v>
      </c>
      <c r="E1379" t="n">
        <v>17.1</v>
      </c>
      <c r="F1379" t="inlineStr">
        <is>
          <t>C1</t>
        </is>
      </c>
      <c r="G1379" t="inlineStr">
        <is>
          <t>18.5419109</t>
        </is>
      </c>
      <c r="H1379" t="n">
        <v>-18.2144254</v>
      </c>
      <c r="I1379" t="inlineStr">
        <is>
          <t>C1</t>
        </is>
      </c>
      <c r="J1379" t="n">
        <v>3.318466163028641</v>
      </c>
      <c r="K1379" t="inlineStr"/>
      <c r="L1379" t="n">
        <v>0.85093</v>
      </c>
      <c r="M1379" t="n">
        <v>0.976399413</v>
      </c>
      <c r="N1379" t="inlineStr">
        <is>
          <t>Yes</t>
        </is>
      </c>
      <c r="O1379" t="inlineStr">
        <is>
          <t>improve</t>
        </is>
      </c>
      <c r="P1379" t="inlineStr">
        <is>
          <t>twist sign</t>
        </is>
      </c>
      <c r="Q1379" t="inlineStr"/>
      <c r="R1379" t="inlineStr"/>
      <c r="S1379">
        <f>HYPERLINK("https://helical-indexing-hi3d.streamlit.app/?emd_id=emd-2946&amp;rise=18.5419109&amp;twist=-18.2144254&amp;csym=1&amp;rise2=18.8&amp;twist2=17.1&amp;csym2=1", "Link")</f>
        <v/>
      </c>
    </row>
    <row r="1380">
      <c r="A1380" t="inlineStr">
        <is>
          <t>EMD-5165</t>
        </is>
      </c>
      <c r="B1380" t="inlineStr">
        <is>
          <t>microtubule</t>
        </is>
      </c>
      <c r="C1380" t="n">
        <v>8.5</v>
      </c>
      <c r="D1380" t="inlineStr"/>
      <c r="E1380" t="inlineStr"/>
      <c r="F1380" t="inlineStr"/>
      <c r="G1380" t="inlineStr"/>
      <c r="H1380" t="inlineStr"/>
      <c r="I1380" t="inlineStr">
        <is>
          <t>C1</t>
        </is>
      </c>
      <c r="J1380" t="inlineStr"/>
      <c r="K1380" t="inlineStr"/>
      <c r="L1380" t="inlineStr"/>
      <c r="M1380" t="inlineStr"/>
      <c r="N1380" t="inlineStr">
        <is>
          <t>No</t>
        </is>
      </c>
      <c r="O1380" t="inlineStr"/>
      <c r="P1380" t="inlineStr">
        <is>
          <t>single unit</t>
        </is>
      </c>
      <c r="Q1380" t="inlineStr"/>
      <c r="R1380" t="inlineStr"/>
      <c r="S1380" t="inlineStr"/>
    </row>
    <row r="1381">
      <c r="A1381" t="inlineStr">
        <is>
          <t>EMD-6100</t>
        </is>
      </c>
      <c r="B1381" t="inlineStr">
        <is>
          <t>non-amyloid</t>
        </is>
      </c>
      <c r="C1381" t="n">
        <v>8.6</v>
      </c>
      <c r="D1381" t="n">
        <v>28.27</v>
      </c>
      <c r="E1381" t="n">
        <v>165.9</v>
      </c>
      <c r="F1381" t="inlineStr">
        <is>
          <t>C1</t>
        </is>
      </c>
      <c r="G1381" t="inlineStr">
        <is>
          <t>27.89923213</t>
        </is>
      </c>
      <c r="H1381" t="n">
        <v>-166.0295301</v>
      </c>
      <c r="I1381" t="inlineStr">
        <is>
          <t>C1</t>
        </is>
      </c>
      <c r="J1381" t="n">
        <v>5.263444035110456</v>
      </c>
      <c r="K1381" t="inlineStr">
        <is>
          <t> </t>
        </is>
      </c>
      <c r="L1381" t="n">
        <v>0.58214</v>
      </c>
      <c r="M1381" t="n">
        <v>0.973658909</v>
      </c>
      <c r="N1381" t="inlineStr">
        <is>
          <t>Yes</t>
        </is>
      </c>
      <c r="O1381" t="inlineStr">
        <is>
          <t>improve</t>
        </is>
      </c>
      <c r="P1381" t="inlineStr">
        <is>
          <t>twist sign</t>
        </is>
      </c>
      <c r="Q1381" t="inlineStr"/>
      <c r="R1381" t="inlineStr"/>
      <c r="S1381">
        <f>HYPERLINK("https://helical-indexing-hi3d.streamlit.app/?emd_id=emd-6100&amp;rise=27.89923213&amp;twist=-166.0295301&amp;csym=1&amp;rise2=28.27&amp;twist2=165.9&amp;csym2=1", "Link")</f>
        <v/>
      </c>
    </row>
    <row r="1382">
      <c r="A1382" t="inlineStr">
        <is>
          <t>EMD-6101</t>
        </is>
      </c>
      <c r="B1382" t="inlineStr">
        <is>
          <t>non-amyloid</t>
        </is>
      </c>
      <c r="C1382" t="n">
        <v>8.6</v>
      </c>
      <c r="D1382" t="n">
        <v>28.23</v>
      </c>
      <c r="E1382" t="n">
        <v>166.3</v>
      </c>
      <c r="F1382" t="inlineStr">
        <is>
          <t>C1</t>
        </is>
      </c>
      <c r="G1382" t="inlineStr">
        <is>
          <t>27.96388199</t>
        </is>
      </c>
      <c r="H1382" t="n">
        <v>-166.2222679</v>
      </c>
      <c r="I1382" t="inlineStr">
        <is>
          <t>C1</t>
        </is>
      </c>
      <c r="J1382" t="n">
        <v>4.721874038026461</v>
      </c>
      <c r="K1382" t="inlineStr">
        <is>
          <t> </t>
        </is>
      </c>
      <c r="L1382" t="n">
        <v>0.50099</v>
      </c>
      <c r="M1382" t="n">
        <v>0.981489854</v>
      </c>
      <c r="N1382" t="inlineStr">
        <is>
          <t>Yes</t>
        </is>
      </c>
      <c r="O1382" t="inlineStr">
        <is>
          <t>improve</t>
        </is>
      </c>
      <c r="P1382" t="inlineStr">
        <is>
          <t>twist sign</t>
        </is>
      </c>
      <c r="Q1382" t="inlineStr"/>
      <c r="R1382" t="inlineStr"/>
      <c r="S1382">
        <f>HYPERLINK("https://helical-indexing-hi3d.streamlit.app/?emd_id=emd-6101&amp;rise=27.96388199&amp;twist=-166.2222679&amp;csym=1&amp;rise2=28.23&amp;twist2=166.3&amp;csym2=1", "Link")</f>
        <v/>
      </c>
    </row>
    <row r="1383">
      <c r="A1383" t="inlineStr">
        <is>
          <t>EMD-8491</t>
        </is>
      </c>
      <c r="B1383" t="inlineStr">
        <is>
          <t>non-amyloid</t>
        </is>
      </c>
      <c r="C1383" t="n">
        <v>8.6</v>
      </c>
      <c r="D1383" t="n">
        <v>83.5</v>
      </c>
      <c r="E1383" t="n">
        <v>50.6</v>
      </c>
      <c r="F1383" t="inlineStr">
        <is>
          <t>C2</t>
        </is>
      </c>
      <c r="G1383" t="inlineStr">
        <is>
          <t>83.5</t>
        </is>
      </c>
      <c r="H1383" t="n">
        <v>50.6</v>
      </c>
      <c r="I1383" t="inlineStr">
        <is>
          <t>C2</t>
        </is>
      </c>
      <c r="J1383" t="n">
        <v>0</v>
      </c>
      <c r="K1383" t="inlineStr"/>
      <c r="L1383" t="n">
        <v>0.9966699999999999</v>
      </c>
      <c r="M1383" t="n">
        <v>0.9966699999999999</v>
      </c>
      <c r="N1383" t="inlineStr">
        <is>
          <t>Yes</t>
        </is>
      </c>
      <c r="O1383" t="inlineStr">
        <is>
          <t>equal</t>
        </is>
      </c>
      <c r="P1383" t="inlineStr">
        <is>
          <t>deposited</t>
        </is>
      </c>
      <c r="Q1383" t="inlineStr"/>
      <c r="R1383" t="inlineStr"/>
      <c r="S1383">
        <f>HYPERLINK("https://helical-indexing-hi3d.streamlit.app/?emd_id=emd-8491&amp;rise=83.5&amp;twist=50.6&amp;csym=2&amp;rise2=83.5&amp;twist2=50.6&amp;csym2=2", "Link")</f>
        <v/>
      </c>
    </row>
    <row r="1384">
      <c r="A1384" t="inlineStr">
        <is>
          <t>EMD-5223</t>
        </is>
      </c>
      <c r="B1384" t="inlineStr">
        <is>
          <t>microtubule</t>
        </is>
      </c>
      <c r="C1384" t="n">
        <v>8.6</v>
      </c>
      <c r="D1384" t="n">
        <v>9.541130000000001</v>
      </c>
      <c r="E1384" t="n">
        <v>27.67984</v>
      </c>
      <c r="F1384" t="inlineStr"/>
      <c r="G1384" t="inlineStr">
        <is>
          <t>3.173742983</t>
        </is>
      </c>
      <c r="H1384" t="n">
        <v>110.7693389</v>
      </c>
      <c r="I1384" t="inlineStr">
        <is>
          <t>Cnan</t>
        </is>
      </c>
      <c r="J1384" t="n">
        <v>14.97342593713484</v>
      </c>
      <c r="K1384" t="inlineStr"/>
      <c r="L1384" t="n">
        <v>0.63079</v>
      </c>
      <c r="M1384" t="n">
        <v>0.991884239</v>
      </c>
      <c r="N1384" t="inlineStr">
        <is>
          <t>Yes</t>
        </is>
      </c>
      <c r="O1384" t="inlineStr">
        <is>
          <t>improve</t>
        </is>
      </c>
      <c r="P1384" t="inlineStr">
        <is>
          <t>different</t>
        </is>
      </c>
      <c r="Q1384" t="inlineStr">
        <is>
          <t>partial symmetry</t>
        </is>
      </c>
      <c r="R1384" t="inlineStr"/>
      <c r="S1384" t="inlineStr"/>
    </row>
    <row r="1385">
      <c r="A1385" t="inlineStr">
        <is>
          <t>EMD-5582</t>
        </is>
      </c>
      <c r="B1385" t="inlineStr">
        <is>
          <t>non-amyloid</t>
        </is>
      </c>
      <c r="C1385" t="n">
        <v>8.6</v>
      </c>
      <c r="D1385" t="n">
        <v>7.247</v>
      </c>
      <c r="E1385" t="n">
        <v>31.13</v>
      </c>
      <c r="F1385" t="inlineStr"/>
      <c r="G1385" t="inlineStr">
        <is>
          <t>7.239061587</t>
        </is>
      </c>
      <c r="H1385" t="n">
        <v>-31.12688222</v>
      </c>
      <c r="I1385" t="inlineStr">
        <is>
          <t>Cnan</t>
        </is>
      </c>
      <c r="J1385" t="n">
        <v>34.43053790696376</v>
      </c>
      <c r="K1385" t="inlineStr">
        <is>
          <t> </t>
        </is>
      </c>
      <c r="L1385" t="n">
        <v>0.662567803</v>
      </c>
      <c r="M1385" t="n">
        <v>0.99120771</v>
      </c>
      <c r="N1385" t="inlineStr">
        <is>
          <t>Yes</t>
        </is>
      </c>
      <c r="O1385" t="inlineStr">
        <is>
          <t>improve</t>
        </is>
      </c>
      <c r="P1385" t="inlineStr">
        <is>
          <t>twist sign</t>
        </is>
      </c>
      <c r="Q1385" t="inlineStr"/>
      <c r="R1385" t="inlineStr"/>
      <c r="S1385" t="inlineStr"/>
    </row>
    <row r="1386">
      <c r="A1386" t="inlineStr">
        <is>
          <t>EMD-33008</t>
        </is>
      </c>
      <c r="B1386" t="inlineStr">
        <is>
          <t>non-amyloid</t>
        </is>
      </c>
      <c r="C1386" t="n">
        <v>8.6</v>
      </c>
      <c r="D1386" t="n">
        <v>21.8</v>
      </c>
      <c r="E1386" t="n">
        <v>164.5</v>
      </c>
      <c r="F1386" t="inlineStr">
        <is>
          <t>C1</t>
        </is>
      </c>
      <c r="G1386" t="inlineStr">
        <is>
          <t>21.8</t>
        </is>
      </c>
      <c r="H1386" t="n">
        <v>164.5</v>
      </c>
      <c r="I1386" t="inlineStr">
        <is>
          <t>C1</t>
        </is>
      </c>
      <c r="J1386" t="n">
        <v>0</v>
      </c>
      <c r="K1386" t="inlineStr"/>
      <c r="L1386" t="n">
        <v>0.99499</v>
      </c>
      <c r="M1386" t="n">
        <v>0.99499</v>
      </c>
      <c r="N1386" t="inlineStr">
        <is>
          <t>Yes</t>
        </is>
      </c>
      <c r="O1386" t="inlineStr">
        <is>
          <t>equal</t>
        </is>
      </c>
      <c r="P1386" t="inlineStr">
        <is>
          <t>deposited</t>
        </is>
      </c>
      <c r="Q1386" t="inlineStr"/>
      <c r="R1386" t="inlineStr"/>
      <c r="S1386">
        <f>HYPERLINK("https://helical-indexing-hi3d.streamlit.app/?emd_id=emd-33008&amp;rise=21.8&amp;twist=164.5&amp;csym=1&amp;rise2=21.8&amp;twist2=164.5&amp;csym2=1", "Link")</f>
        <v/>
      </c>
    </row>
    <row r="1387">
      <c r="A1387" t="inlineStr">
        <is>
          <t>EMD-10244</t>
        </is>
      </c>
      <c r="B1387" t="inlineStr">
        <is>
          <t>non-amyloid</t>
        </is>
      </c>
      <c r="C1387" t="n">
        <v>8.699999999999999</v>
      </c>
      <c r="D1387" t="n">
        <v>4.5</v>
      </c>
      <c r="E1387" t="n">
        <v>65.40000000000001</v>
      </c>
      <c r="F1387" t="inlineStr">
        <is>
          <t>C1</t>
        </is>
      </c>
      <c r="G1387" t="inlineStr">
        <is>
          <t>4.97318025</t>
        </is>
      </c>
      <c r="H1387" t="n">
        <v>32.63553914</v>
      </c>
      <c r="I1387" t="inlineStr">
        <is>
          <t>C1</t>
        </is>
      </c>
      <c r="J1387" t="n">
        <v>11.80539949298579</v>
      </c>
      <c r="K1387" t="inlineStr"/>
      <c r="L1387" t="n">
        <v>0.86454</v>
      </c>
      <c r="M1387" t="n">
        <v>0.90689436</v>
      </c>
      <c r="N1387" t="inlineStr">
        <is>
          <t>Yes</t>
        </is>
      </c>
      <c r="O1387" t="inlineStr">
        <is>
          <t>improve</t>
        </is>
      </c>
      <c r="P1387" t="inlineStr">
        <is>
          <t>different</t>
        </is>
      </c>
      <c r="Q1387" t="inlineStr"/>
      <c r="R1387" t="inlineStr"/>
      <c r="S1387">
        <f>HYPERLINK("https://helical-indexing-hi3d.streamlit.app/?emd_id=emd-10244&amp;rise=4.97318025&amp;twist=32.63553914&amp;csym=1&amp;rise2=4.5&amp;twist2=65.4&amp;csym2=1", "Link")</f>
        <v/>
      </c>
    </row>
    <row r="1388">
      <c r="A1388" t="inlineStr">
        <is>
          <t>EMD-18043</t>
        </is>
      </c>
      <c r="B1388" t="inlineStr">
        <is>
          <t>non-amyloid</t>
        </is>
      </c>
      <c r="C1388" t="n">
        <v>8.699999999999999</v>
      </c>
      <c r="D1388" t="n">
        <v>24.27</v>
      </c>
      <c r="E1388" t="n">
        <v>57.41</v>
      </c>
      <c r="F1388" t="inlineStr">
        <is>
          <t>C2</t>
        </is>
      </c>
      <c r="G1388" t="inlineStr">
        <is>
          <t>24.27</t>
        </is>
      </c>
      <c r="H1388" t="n">
        <v>57.41</v>
      </c>
      <c r="I1388" t="inlineStr">
        <is>
          <t>C2</t>
        </is>
      </c>
      <c r="J1388" t="n">
        <v>0</v>
      </c>
      <c r="K1388" t="inlineStr"/>
      <c r="L1388" t="n">
        <v>0.969545653</v>
      </c>
      <c r="M1388" t="n">
        <v>0.969545653</v>
      </c>
      <c r="N1388" t="inlineStr">
        <is>
          <t>Yes</t>
        </is>
      </c>
      <c r="O1388" t="inlineStr">
        <is>
          <t>equal</t>
        </is>
      </c>
      <c r="P1388" t="inlineStr">
        <is>
          <t>deposited</t>
        </is>
      </c>
      <c r="Q1388" t="inlineStr"/>
      <c r="R1388" t="inlineStr"/>
      <c r="S1388">
        <f>HYPERLINK("https://helical-indexing-hi3d.streamlit.app/?emd_id=emd-18043&amp;rise=24.27&amp;twist=57.41&amp;csym=2&amp;rise2=24.27&amp;twist2=57.41&amp;csym2=2", "Link")</f>
        <v/>
      </c>
    </row>
    <row r="1389">
      <c r="A1389" t="inlineStr">
        <is>
          <t>EMD-0738</t>
        </is>
      </c>
      <c r="B1389" t="inlineStr">
        <is>
          <t>non-amyloid</t>
        </is>
      </c>
      <c r="C1389" t="n">
        <v>8.800000000000001</v>
      </c>
      <c r="D1389" t="n">
        <v>12.671</v>
      </c>
      <c r="E1389" t="n">
        <v>145.973</v>
      </c>
      <c r="F1389" t="inlineStr">
        <is>
          <t>C2</t>
        </is>
      </c>
      <c r="G1389" t="inlineStr">
        <is>
          <t>12.671</t>
        </is>
      </c>
      <c r="H1389" t="n">
        <v>145.973</v>
      </c>
      <c r="I1389" t="inlineStr">
        <is>
          <t>C2</t>
        </is>
      </c>
      <c r="J1389" t="n">
        <v>0</v>
      </c>
      <c r="K1389" t="inlineStr"/>
      <c r="L1389" t="n">
        <v>0.94624</v>
      </c>
      <c r="M1389" t="n">
        <v>0.94624</v>
      </c>
      <c r="N1389" t="inlineStr">
        <is>
          <t>Yes</t>
        </is>
      </c>
      <c r="O1389" t="inlineStr">
        <is>
          <t>equal</t>
        </is>
      </c>
      <c r="P1389" t="inlineStr">
        <is>
          <t>deposited</t>
        </is>
      </c>
      <c r="Q1389" t="inlineStr">
        <is>
          <t>sym</t>
        </is>
      </c>
      <c r="R1389" t="inlineStr"/>
      <c r="S1389">
        <f>HYPERLINK("https://helical-indexing-hi3d.streamlit.app/?emd_id=emd-0738&amp;rise=12.671&amp;twist=145.973&amp;csym=2&amp;rise2=12.671&amp;twist2=145.973&amp;csym2=2", "Link")</f>
        <v/>
      </c>
    </row>
    <row r="1390">
      <c r="A1390" t="inlineStr">
        <is>
          <t>EMD-3691</t>
        </is>
      </c>
      <c r="B1390" t="inlineStr">
        <is>
          <t>non-amyloid</t>
        </is>
      </c>
      <c r="C1390" t="n">
        <v>8.800000000000001</v>
      </c>
      <c r="D1390" t="n">
        <v>40.6</v>
      </c>
      <c r="E1390" t="n">
        <v>39.1</v>
      </c>
      <c r="F1390" t="inlineStr">
        <is>
          <t>C3</t>
        </is>
      </c>
      <c r="G1390" t="inlineStr">
        <is>
          <t>40.6</t>
        </is>
      </c>
      <c r="H1390" t="n">
        <v>39.1</v>
      </c>
      <c r="I1390" t="inlineStr">
        <is>
          <t>C3</t>
        </is>
      </c>
      <c r="J1390" t="n">
        <v>0</v>
      </c>
      <c r="K1390" t="inlineStr"/>
      <c r="L1390" t="n">
        <v>0.9192399999999999</v>
      </c>
      <c r="M1390" t="n">
        <v>0.9192399999999999</v>
      </c>
      <c r="N1390" t="inlineStr">
        <is>
          <t>Yes</t>
        </is>
      </c>
      <c r="O1390" t="inlineStr">
        <is>
          <t>equal</t>
        </is>
      </c>
      <c r="P1390" t="inlineStr">
        <is>
          <t>deposited</t>
        </is>
      </c>
      <c r="Q1390" t="inlineStr"/>
      <c r="R1390" t="inlineStr"/>
      <c r="S1390">
        <f>HYPERLINK("https://helical-indexing-hi3d.streamlit.app/?emd_id=emd-3691&amp;rise=40.6&amp;twist=39.1&amp;csym=3&amp;rise2=40.6&amp;twist2=39.1&amp;csym2=3", "Link")</f>
        <v/>
      </c>
    </row>
    <row r="1391">
      <c r="A1391" t="inlineStr">
        <is>
          <t>EMD-1990</t>
        </is>
      </c>
      <c r="B1391" t="inlineStr">
        <is>
          <t>non-amyloid</t>
        </is>
      </c>
      <c r="C1391" t="n">
        <v>8.9</v>
      </c>
      <c r="D1391" t="n">
        <v>27.6</v>
      </c>
      <c r="E1391" t="n">
        <v>166.5</v>
      </c>
      <c r="F1391" t="inlineStr"/>
      <c r="G1391" t="inlineStr">
        <is>
          <t>27.66769817</t>
        </is>
      </c>
      <c r="H1391" t="n">
        <v>-166.2231041</v>
      </c>
      <c r="I1391" t="inlineStr">
        <is>
          <t>Cnan</t>
        </is>
      </c>
      <c r="J1391" t="n">
        <v>4.251437299686899</v>
      </c>
      <c r="K1391" t="inlineStr">
        <is>
          <t> </t>
        </is>
      </c>
      <c r="L1391" t="n">
        <v>0.50963</v>
      </c>
      <c r="M1391" t="n">
        <v>0.988673596</v>
      </c>
      <c r="N1391" t="inlineStr">
        <is>
          <t>Yes</t>
        </is>
      </c>
      <c r="O1391" t="inlineStr">
        <is>
          <t>improve</t>
        </is>
      </c>
      <c r="P1391" t="inlineStr">
        <is>
          <t>twist sign</t>
        </is>
      </c>
      <c r="Q1391" t="inlineStr"/>
      <c r="R1391" t="inlineStr"/>
      <c r="S1391" t="inlineStr"/>
    </row>
    <row r="1392">
      <c r="A1392" t="inlineStr">
        <is>
          <t>EMD-4346</t>
        </is>
      </c>
      <c r="B1392" t="inlineStr">
        <is>
          <t>non-amyloid</t>
        </is>
      </c>
      <c r="C1392" t="n">
        <v>9</v>
      </c>
      <c r="D1392" t="n">
        <v>27.7</v>
      </c>
      <c r="E1392" t="n">
        <v>-166.6</v>
      </c>
      <c r="F1392" t="inlineStr">
        <is>
          <t>C1</t>
        </is>
      </c>
      <c r="G1392" t="inlineStr">
        <is>
          <t>27.31886679</t>
        </is>
      </c>
      <c r="H1392" t="n">
        <v>-166.6041238</v>
      </c>
      <c r="I1392" t="inlineStr">
        <is>
          <t>C1</t>
        </is>
      </c>
      <c r="J1392" t="n">
        <v>0.3811338883503846</v>
      </c>
      <c r="K1392" t="inlineStr"/>
      <c r="L1392" t="n">
        <v>0.9754</v>
      </c>
      <c r="M1392" t="n">
        <v>0.997994354</v>
      </c>
      <c r="N1392" t="inlineStr">
        <is>
          <t>Yes</t>
        </is>
      </c>
      <c r="O1392" t="inlineStr">
        <is>
          <t>improve</t>
        </is>
      </c>
      <c r="P1392" t="inlineStr">
        <is>
          <t>adjusted decimals</t>
        </is>
      </c>
      <c r="Q1392" t="inlineStr"/>
      <c r="R1392" t="inlineStr"/>
      <c r="S1392">
        <f>HYPERLINK("https://helical-indexing-hi3d.streamlit.app/?emd_id=emd-4346&amp;rise=27.31886679&amp;twist=-166.6041238&amp;csym=1&amp;rise2=27.7&amp;twist2=-166.6&amp;csym2=1", "Link")</f>
        <v/>
      </c>
    </row>
    <row r="1393">
      <c r="A1393" t="inlineStr">
        <is>
          <t>EMD-5354</t>
        </is>
      </c>
      <c r="B1393" t="inlineStr">
        <is>
          <t>non-amyloid</t>
        </is>
      </c>
      <c r="C1393" t="n">
        <v>9</v>
      </c>
      <c r="D1393" t="n">
        <v>27.6</v>
      </c>
      <c r="E1393" t="n">
        <v>162.1</v>
      </c>
      <c r="F1393" t="inlineStr"/>
      <c r="G1393" t="inlineStr">
        <is>
          <t>27.6</t>
        </is>
      </c>
      <c r="H1393" t="n">
        <v>-162.1</v>
      </c>
      <c r="I1393" t="inlineStr">
        <is>
          <t>Cnan</t>
        </is>
      </c>
      <c r="J1393" t="n">
        <v>4.328954054930928</v>
      </c>
      <c r="K1393" t="inlineStr"/>
      <c r="L1393" t="n">
        <v>0.55248</v>
      </c>
      <c r="M1393" t="n">
        <v>0.996176724</v>
      </c>
      <c r="N1393" t="inlineStr">
        <is>
          <t>Yes</t>
        </is>
      </c>
      <c r="O1393" t="inlineStr">
        <is>
          <t>improve</t>
        </is>
      </c>
      <c r="P1393" t="inlineStr">
        <is>
          <t>twist sign</t>
        </is>
      </c>
      <c r="Q1393" t="inlineStr"/>
      <c r="R1393" t="inlineStr"/>
      <c r="S1393" t="inlineStr"/>
    </row>
    <row r="1394">
      <c r="A1394" t="inlineStr">
        <is>
          <t>EMD-1589</t>
        </is>
      </c>
      <c r="B1394" t="inlineStr">
        <is>
          <t>non-amyloid</t>
        </is>
      </c>
      <c r="C1394" t="n">
        <v>9</v>
      </c>
      <c r="D1394" t="n">
        <v>3.1926</v>
      </c>
      <c r="E1394" t="n">
        <v>63.815</v>
      </c>
      <c r="F1394" t="inlineStr"/>
      <c r="G1394" t="inlineStr">
        <is>
          <t>3.160196815</t>
        </is>
      </c>
      <c r="H1394" t="n">
        <v>-63.8083973</v>
      </c>
      <c r="I1394" t="inlineStr">
        <is>
          <t>Cnan</t>
        </is>
      </c>
      <c r="J1394" t="n">
        <v>76.80833085681758</v>
      </c>
      <c r="K1394" t="inlineStr">
        <is>
          <t> </t>
        </is>
      </c>
      <c r="L1394" t="n">
        <v>0.32291</v>
      </c>
      <c r="M1394" t="n">
        <v>0.996056513</v>
      </c>
      <c r="N1394" t="inlineStr">
        <is>
          <t>Yes</t>
        </is>
      </c>
      <c r="O1394" t="inlineStr">
        <is>
          <t>improve</t>
        </is>
      </c>
      <c r="P1394" t="inlineStr">
        <is>
          <t>twist sign</t>
        </is>
      </c>
      <c r="Q1394" t="inlineStr"/>
      <c r="R1394" t="inlineStr"/>
      <c r="S1394" t="inlineStr"/>
    </row>
    <row r="1395">
      <c r="A1395" t="inlineStr">
        <is>
          <t>EMD-8582</t>
        </is>
      </c>
      <c r="B1395" t="inlineStr">
        <is>
          <t>non-amyloid</t>
        </is>
      </c>
      <c r="C1395" t="n">
        <v>9</v>
      </c>
      <c r="D1395" t="n">
        <v>13.46</v>
      </c>
      <c r="E1395" t="n">
        <v>128.88</v>
      </c>
      <c r="F1395" t="inlineStr">
        <is>
          <t>C1</t>
        </is>
      </c>
      <c r="G1395" t="inlineStr">
        <is>
          <t>13.46</t>
        </is>
      </c>
      <c r="H1395" t="n">
        <v>128.88</v>
      </c>
      <c r="I1395" t="inlineStr">
        <is>
          <t>C1</t>
        </is>
      </c>
      <c r="J1395" t="n">
        <v>0</v>
      </c>
      <c r="K1395" t="inlineStr">
        <is>
          <t> </t>
        </is>
      </c>
      <c r="L1395" t="n">
        <v>0.9629573299999999</v>
      </c>
      <c r="M1395" t="n">
        <v>0.9629573299999999</v>
      </c>
      <c r="N1395" t="inlineStr">
        <is>
          <t>Yes</t>
        </is>
      </c>
      <c r="O1395" t="inlineStr">
        <is>
          <t>equal</t>
        </is>
      </c>
      <c r="P1395" t="inlineStr">
        <is>
          <t>deposited</t>
        </is>
      </c>
      <c r="Q1395" t="inlineStr"/>
      <c r="R1395" t="inlineStr"/>
      <c r="S1395">
        <f>HYPERLINK("https://helical-indexing-hi3d.streamlit.app/?emd_id=emd-8582&amp;rise=13.46&amp;twist=128.88&amp;csym=1&amp;rise2=13.46&amp;twist2=128.88&amp;csym2=1", "Link")</f>
        <v/>
      </c>
    </row>
    <row r="1396">
      <c r="A1396" t="inlineStr">
        <is>
          <t>EMD-20835</t>
        </is>
      </c>
      <c r="B1396" t="inlineStr">
        <is>
          <t>non-amyloid</t>
        </is>
      </c>
      <c r="C1396" t="n">
        <v>9</v>
      </c>
      <c r="D1396" t="n">
        <v>18.7</v>
      </c>
      <c r="E1396" t="n">
        <v>66.59999999999999</v>
      </c>
      <c r="F1396" t="inlineStr">
        <is>
          <t>C1</t>
        </is>
      </c>
      <c r="G1396" t="inlineStr">
        <is>
          <t>18.7</t>
        </is>
      </c>
      <c r="H1396" t="n">
        <v>66.59999999999999</v>
      </c>
      <c r="I1396" t="inlineStr">
        <is>
          <t>C1</t>
        </is>
      </c>
      <c r="J1396" t="n">
        <v>0</v>
      </c>
      <c r="K1396" t="inlineStr"/>
      <c r="L1396" t="n">
        <v>0.95592</v>
      </c>
      <c r="M1396" t="n">
        <v>0.95592</v>
      </c>
      <c r="N1396" t="inlineStr">
        <is>
          <t>Yes</t>
        </is>
      </c>
      <c r="O1396" t="inlineStr">
        <is>
          <t>equal</t>
        </is>
      </c>
      <c r="P1396" t="inlineStr">
        <is>
          <t>deposited</t>
        </is>
      </c>
      <c r="Q1396" t="inlineStr"/>
      <c r="R1396" t="inlineStr"/>
      <c r="S1396">
        <f>HYPERLINK("https://helical-indexing-hi3d.streamlit.app/?emd_id=emd-20835&amp;rise=18.7&amp;twist=66.6&amp;csym=1&amp;rise2=18.7&amp;twist2=66.6&amp;csym2=1", "Link")</f>
        <v/>
      </c>
    </row>
    <row r="1397">
      <c r="A1397" t="inlineStr">
        <is>
          <t>EMD-1132</t>
        </is>
      </c>
      <c r="B1397" t="inlineStr">
        <is>
          <t>non-amyloid</t>
        </is>
      </c>
      <c r="C1397" t="n">
        <v>9</v>
      </c>
      <c r="D1397" t="inlineStr"/>
      <c r="E1397" t="inlineStr"/>
      <c r="F1397" t="inlineStr"/>
      <c r="G1397" t="inlineStr">
        <is>
          <t>4.119156656</t>
        </is>
      </c>
      <c r="H1397" t="n">
        <v>64.77617773</v>
      </c>
      <c r="I1397" t="inlineStr">
        <is>
          <t>Cnan</t>
        </is>
      </c>
      <c r="J1397" t="inlineStr"/>
      <c r="K1397" t="inlineStr">
        <is>
          <t> </t>
        </is>
      </c>
      <c r="L1397" t="inlineStr"/>
      <c r="M1397" t="n">
        <v>0.931067152</v>
      </c>
      <c r="N1397" t="inlineStr">
        <is>
          <t>Yes</t>
        </is>
      </c>
      <c r="O1397" t="inlineStr">
        <is>
          <t>improve</t>
        </is>
      </c>
      <c r="P1397" t="inlineStr">
        <is>
          <t>no EMDB values</t>
        </is>
      </c>
      <c r="Q1397" t="inlineStr"/>
      <c r="R1397" t="inlineStr"/>
      <c r="S1397" t="inlineStr"/>
    </row>
    <row r="1398">
      <c r="A1398" t="inlineStr">
        <is>
          <t>EMD-30592</t>
        </is>
      </c>
      <c r="B1398" t="inlineStr">
        <is>
          <t>non-amyloid</t>
        </is>
      </c>
      <c r="C1398" t="n">
        <v>9</v>
      </c>
      <c r="D1398" t="n">
        <v>8.76</v>
      </c>
      <c r="E1398" t="n">
        <v>60.13</v>
      </c>
      <c r="F1398" t="inlineStr">
        <is>
          <t>C1</t>
        </is>
      </c>
      <c r="G1398" t="inlineStr">
        <is>
          <t>8.677920039</t>
        </is>
      </c>
      <c r="H1398" t="n">
        <v>-60.33334055</v>
      </c>
      <c r="I1398" t="inlineStr">
        <is>
          <t>C1</t>
        </is>
      </c>
      <c r="J1398" t="n">
        <v>50.10905181432547</v>
      </c>
      <c r="K1398" t="inlineStr">
        <is>
          <t> </t>
        </is>
      </c>
      <c r="L1398" t="n">
        <v>0.79598</v>
      </c>
      <c r="M1398" t="n">
        <v>0.940276572</v>
      </c>
      <c r="N1398" t="inlineStr">
        <is>
          <t>Yes</t>
        </is>
      </c>
      <c r="O1398" t="inlineStr">
        <is>
          <t>improve</t>
        </is>
      </c>
      <c r="P1398" t="inlineStr">
        <is>
          <t>twist sign</t>
        </is>
      </c>
      <c r="Q1398" t="inlineStr"/>
      <c r="R1398" t="inlineStr"/>
      <c r="S1398">
        <f>HYPERLINK("https://helical-indexing-hi3d.streamlit.app/?emd_id=emd-30592&amp;rise=8.677920039&amp;twist=-60.33334055&amp;csym=1&amp;rise2=8.76&amp;twist2=60.13&amp;csym2=1", "Link")</f>
        <v/>
      </c>
    </row>
    <row r="1399">
      <c r="A1399" t="inlineStr">
        <is>
          <t>EMD-13595</t>
        </is>
      </c>
      <c r="B1399" t="inlineStr">
        <is>
          <t>non-amyloid</t>
        </is>
      </c>
      <c r="C1399" t="n">
        <v>9.1</v>
      </c>
      <c r="D1399" t="n">
        <v>26.7</v>
      </c>
      <c r="E1399" t="n">
        <v>47.32</v>
      </c>
      <c r="F1399" t="inlineStr">
        <is>
          <t>D1</t>
        </is>
      </c>
      <c r="G1399" t="inlineStr">
        <is>
          <t>26.7</t>
        </is>
      </c>
      <c r="H1399" t="n">
        <v>47.32</v>
      </c>
      <c r="I1399" t="inlineStr">
        <is>
          <t>CD1</t>
        </is>
      </c>
      <c r="J1399" t="n">
        <v>0</v>
      </c>
      <c r="K1399" t="inlineStr"/>
      <c r="L1399" t="n">
        <v>0.9338</v>
      </c>
      <c r="M1399" t="n">
        <v>0.9338</v>
      </c>
      <c r="N1399" t="inlineStr">
        <is>
          <t>Yes</t>
        </is>
      </c>
      <c r="O1399" t="inlineStr">
        <is>
          <t>equal</t>
        </is>
      </c>
      <c r="P1399" t="inlineStr">
        <is>
          <t>deposited</t>
        </is>
      </c>
      <c r="Q1399" t="inlineStr"/>
      <c r="R1399" t="inlineStr"/>
      <c r="S1399">
        <f>HYPERLINK("https://helical-indexing-hi3d.streamlit.app/?emd_id=emd-13595&amp;rise=26.7&amp;twist=47.32&amp;csym=D1&amp;rise2=26.7&amp;twist2=47.32&amp;csym2=1", "Link")</f>
        <v/>
      </c>
    </row>
    <row r="1400">
      <c r="A1400" t="inlineStr">
        <is>
          <t>EMD-8244</t>
        </is>
      </c>
      <c r="B1400" t="inlineStr">
        <is>
          <t>non-amyloid</t>
        </is>
      </c>
      <c r="C1400" t="n">
        <v>9.1</v>
      </c>
      <c r="D1400" t="n">
        <v>27.44</v>
      </c>
      <c r="E1400" t="n">
        <v>167.1</v>
      </c>
      <c r="F1400" t="inlineStr">
        <is>
          <t>C1</t>
        </is>
      </c>
      <c r="G1400" t="inlineStr">
        <is>
          <t>26.36825641</t>
        </is>
      </c>
      <c r="H1400" t="n">
        <v>-167.0020329</v>
      </c>
      <c r="I1400" t="inlineStr">
        <is>
          <t>C1</t>
        </is>
      </c>
      <c r="J1400" t="n">
        <v>7.227757968117708</v>
      </c>
      <c r="K1400" t="inlineStr">
        <is>
          <t> </t>
        </is>
      </c>
      <c r="L1400" t="n">
        <v>0.5216499999999999</v>
      </c>
      <c r="M1400" t="n">
        <v>0.937868209</v>
      </c>
      <c r="N1400" t="inlineStr">
        <is>
          <t>Yes</t>
        </is>
      </c>
      <c r="O1400" t="inlineStr">
        <is>
          <t>improve</t>
        </is>
      </c>
      <c r="P1400" t="inlineStr">
        <is>
          <t>twist sign</t>
        </is>
      </c>
      <c r="Q1400" t="inlineStr"/>
      <c r="R1400" t="inlineStr"/>
      <c r="S1400">
        <f>HYPERLINK("https://helical-indexing-hi3d.streamlit.app/?emd_id=emd-8244&amp;rise=26.36825641&amp;twist=-167.0020329&amp;csym=1&amp;rise2=27.44&amp;twist2=167.1&amp;csym2=1", "Link")</f>
        <v/>
      </c>
    </row>
    <row r="1401">
      <c r="A1401" t="inlineStr">
        <is>
          <t>EMD-5164</t>
        </is>
      </c>
      <c r="B1401" t="inlineStr">
        <is>
          <t>microtubule</t>
        </is>
      </c>
      <c r="C1401" t="n">
        <v>9.1</v>
      </c>
      <c r="D1401" t="inlineStr"/>
      <c r="E1401" t="inlineStr"/>
      <c r="F1401" t="inlineStr"/>
      <c r="G1401" t="inlineStr"/>
      <c r="H1401" t="inlineStr"/>
      <c r="I1401" t="inlineStr">
        <is>
          <t>C1</t>
        </is>
      </c>
      <c r="J1401" t="inlineStr"/>
      <c r="K1401" t="inlineStr"/>
      <c r="L1401" t="inlineStr"/>
      <c r="M1401" t="inlineStr"/>
      <c r="N1401" t="inlineStr">
        <is>
          <t>No</t>
        </is>
      </c>
      <c r="O1401" t="inlineStr"/>
      <c r="P1401" t="inlineStr">
        <is>
          <t>single unit</t>
        </is>
      </c>
      <c r="Q1401" t="inlineStr"/>
      <c r="R1401" t="inlineStr"/>
      <c r="S1401" t="inlineStr"/>
    </row>
    <row r="1402">
      <c r="A1402" t="inlineStr">
        <is>
          <t>EMD-5166</t>
        </is>
      </c>
      <c r="B1402" t="inlineStr">
        <is>
          <t>microtubule</t>
        </is>
      </c>
      <c r="C1402" t="n">
        <v>9.1</v>
      </c>
      <c r="D1402" t="inlineStr"/>
      <c r="E1402" t="inlineStr"/>
      <c r="F1402" t="inlineStr"/>
      <c r="G1402" t="inlineStr"/>
      <c r="H1402" t="inlineStr"/>
      <c r="I1402" t="inlineStr">
        <is>
          <t>C1</t>
        </is>
      </c>
      <c r="J1402" t="inlineStr"/>
      <c r="K1402" t="inlineStr"/>
      <c r="L1402" t="inlineStr"/>
      <c r="M1402" t="inlineStr"/>
      <c r="N1402" t="inlineStr">
        <is>
          <t>No</t>
        </is>
      </c>
      <c r="O1402" t="inlineStr"/>
      <c r="P1402" t="inlineStr">
        <is>
          <t>single unit</t>
        </is>
      </c>
      <c r="Q1402" t="inlineStr"/>
      <c r="R1402" t="inlineStr"/>
      <c r="S1402" t="inlineStr"/>
    </row>
    <row r="1403">
      <c r="A1403" t="inlineStr">
        <is>
          <t>EMD-5167</t>
        </is>
      </c>
      <c r="B1403" t="inlineStr">
        <is>
          <t>microtubule</t>
        </is>
      </c>
      <c r="C1403" t="n">
        <v>9.1</v>
      </c>
      <c r="D1403" t="inlineStr"/>
      <c r="E1403" t="inlineStr"/>
      <c r="F1403" t="inlineStr"/>
      <c r="G1403" t="inlineStr"/>
      <c r="H1403" t="inlineStr"/>
      <c r="I1403" t="inlineStr">
        <is>
          <t>C1</t>
        </is>
      </c>
      <c r="J1403" t="inlineStr"/>
      <c r="K1403" t="inlineStr"/>
      <c r="L1403" t="inlineStr"/>
      <c r="M1403" t="inlineStr"/>
      <c r="N1403" t="inlineStr">
        <is>
          <t>No</t>
        </is>
      </c>
      <c r="O1403" t="inlineStr"/>
      <c r="P1403" t="inlineStr">
        <is>
          <t>single unit</t>
        </is>
      </c>
      <c r="Q1403" t="inlineStr"/>
      <c r="R1403" t="inlineStr"/>
      <c r="S1403" t="inlineStr"/>
    </row>
    <row r="1404">
      <c r="A1404" t="inlineStr">
        <is>
          <t>EMD-5795</t>
        </is>
      </c>
      <c r="B1404" t="inlineStr">
        <is>
          <t>non-amyloid</t>
        </is>
      </c>
      <c r="C1404" t="n">
        <v>9.199999999999999</v>
      </c>
      <c r="D1404" t="n">
        <v>18.52</v>
      </c>
      <c r="E1404" t="n">
        <v>54.21</v>
      </c>
      <c r="F1404" t="inlineStr"/>
      <c r="G1404" t="inlineStr">
        <is>
          <t>17.99454855</t>
        </is>
      </c>
      <c r="H1404" t="n">
        <v>-54.01052279</v>
      </c>
      <c r="I1404" t="inlineStr">
        <is>
          <t>C1</t>
        </is>
      </c>
      <c r="J1404" t="n">
        <v>4.516596587610515</v>
      </c>
      <c r="K1404" t="inlineStr">
        <is>
          <t> </t>
        </is>
      </c>
      <c r="L1404" t="n">
        <v>0.2603</v>
      </c>
      <c r="M1404" t="n">
        <v>0.964205341</v>
      </c>
      <c r="N1404" t="inlineStr">
        <is>
          <t>Yes</t>
        </is>
      </c>
      <c r="O1404" t="inlineStr">
        <is>
          <t>improve</t>
        </is>
      </c>
      <c r="P1404" t="inlineStr">
        <is>
          <t>twist sign</t>
        </is>
      </c>
      <c r="Q1404" t="inlineStr"/>
      <c r="R1404" t="inlineStr"/>
      <c r="S1404" t="inlineStr"/>
    </row>
    <row r="1405">
      <c r="A1405" t="inlineStr">
        <is>
          <t>EMD-2638</t>
        </is>
      </c>
      <c r="B1405" t="inlineStr">
        <is>
          <t>non-amyloid</t>
        </is>
      </c>
      <c r="C1405" t="n">
        <v>9.4</v>
      </c>
      <c r="D1405" t="n">
        <v>1.92</v>
      </c>
      <c r="E1405" t="n">
        <v>11.07</v>
      </c>
      <c r="F1405" t="inlineStr">
        <is>
          <t>C1</t>
        </is>
      </c>
      <c r="G1405" t="inlineStr"/>
      <c r="H1405" t="inlineStr"/>
      <c r="I1405" t="inlineStr">
        <is>
          <t>C1</t>
        </is>
      </c>
      <c r="J1405" t="inlineStr"/>
      <c r="K1405" t="inlineStr"/>
      <c r="L1405" t="inlineStr"/>
      <c r="M1405" t="inlineStr"/>
      <c r="N1405" t="inlineStr">
        <is>
          <t>No</t>
        </is>
      </c>
      <c r="O1405" t="inlineStr"/>
      <c r="P1405" t="inlineStr">
        <is>
          <t>single unit</t>
        </is>
      </c>
      <c r="Q1405" t="inlineStr"/>
      <c r="R1405" t="inlineStr"/>
      <c r="S1405">
        <f>HYPERLINK("https://helical-indexing-hi3d.streamlit.app/?emd_id=emd-2638&amp;rise=nan&amp;twist=nan&amp;csym=1&amp;rise2=1.92&amp;twist2=11.07&amp;csym2=1", "Link")</f>
        <v/>
      </c>
    </row>
    <row r="1406">
      <c r="A1406" t="inlineStr">
        <is>
          <t>EMD-1604</t>
        </is>
      </c>
      <c r="B1406" t="inlineStr">
        <is>
          <t>microtubule</t>
        </is>
      </c>
      <c r="C1406" t="n">
        <v>9.4</v>
      </c>
      <c r="D1406" t="inlineStr"/>
      <c r="E1406" t="inlineStr"/>
      <c r="F1406" t="inlineStr"/>
      <c r="G1406" t="inlineStr"/>
      <c r="H1406" t="inlineStr"/>
      <c r="I1406" t="inlineStr">
        <is>
          <t>Cnan</t>
        </is>
      </c>
      <c r="J1406" t="inlineStr"/>
      <c r="K1406" t="inlineStr">
        <is>
          <t> </t>
        </is>
      </c>
      <c r="L1406" t="inlineStr"/>
      <c r="M1406" t="n">
        <v>0.622184566</v>
      </c>
      <c r="N1406" t="inlineStr">
        <is>
          <t>Excluded</t>
        </is>
      </c>
      <c r="O1406" t="inlineStr">
        <is>
          <t>improve</t>
        </is>
      </c>
      <c r="P1406" t="inlineStr">
        <is>
          <t>partial map</t>
        </is>
      </c>
      <c r="Q1406" t="inlineStr"/>
      <c r="R1406" t="inlineStr"/>
      <c r="S1406" t="inlineStr"/>
    </row>
    <row r="1407">
      <c r="A1407" t="inlineStr">
        <is>
          <t>EMD-30279</t>
        </is>
      </c>
      <c r="B1407" t="inlineStr">
        <is>
          <t>non-amyloid</t>
        </is>
      </c>
      <c r="C1407" t="n">
        <v>9.4</v>
      </c>
      <c r="D1407" t="n">
        <v>8.6</v>
      </c>
      <c r="E1407" t="n">
        <v>24.1</v>
      </c>
      <c r="F1407" t="inlineStr">
        <is>
          <t>C1</t>
        </is>
      </c>
      <c r="G1407" t="inlineStr">
        <is>
          <t>8.6</t>
        </is>
      </c>
      <c r="H1407" t="n">
        <v>24.1</v>
      </c>
      <c r="I1407" t="inlineStr">
        <is>
          <t>C1</t>
        </is>
      </c>
      <c r="J1407" t="n">
        <v>0</v>
      </c>
      <c r="K1407" t="inlineStr"/>
      <c r="L1407" t="n">
        <v>0.919457041</v>
      </c>
      <c r="M1407" t="n">
        <v>0.919457041</v>
      </c>
      <c r="N1407" t="inlineStr">
        <is>
          <t>Yes</t>
        </is>
      </c>
      <c r="O1407" t="inlineStr">
        <is>
          <t>equal</t>
        </is>
      </c>
      <c r="P1407" t="inlineStr">
        <is>
          <t>deposited</t>
        </is>
      </c>
      <c r="Q1407" t="inlineStr"/>
      <c r="R1407" t="inlineStr"/>
      <c r="S1407">
        <f>HYPERLINK("https://helical-indexing-hi3d.streamlit.app/?emd_id=emd-30279&amp;rise=8.6&amp;twist=24.1&amp;csym=1&amp;rise2=8.6&amp;twist2=24.1&amp;csym2=1", "Link")</f>
        <v/>
      </c>
    </row>
    <row r="1408">
      <c r="A1408" t="inlineStr">
        <is>
          <t>EMD-1088</t>
        </is>
      </c>
      <c r="B1408" t="inlineStr">
        <is>
          <t>non-amyloid</t>
        </is>
      </c>
      <c r="C1408" t="n">
        <v>9.5</v>
      </c>
      <c r="D1408" t="inlineStr"/>
      <c r="E1408" t="inlineStr"/>
      <c r="F1408" t="inlineStr"/>
      <c r="G1408" t="inlineStr"/>
      <c r="H1408" t="inlineStr"/>
      <c r="I1408" t="inlineStr">
        <is>
          <t>Cnan</t>
        </is>
      </c>
      <c r="J1408" t="inlineStr"/>
      <c r="K1408" t="inlineStr">
        <is>
          <t> </t>
        </is>
      </c>
      <c r="L1408" t="inlineStr"/>
      <c r="M1408" t="n">
        <v>0.152067016</v>
      </c>
      <c r="N1408" t="inlineStr">
        <is>
          <t>No</t>
        </is>
      </c>
      <c r="O1408" t="inlineStr">
        <is>
          <t>improve</t>
        </is>
      </c>
      <c r="P1408" t="inlineStr"/>
      <c r="Q1408" t="inlineStr">
        <is>
          <t>check</t>
        </is>
      </c>
      <c r="R1408" t="inlineStr"/>
      <c r="S1408" t="inlineStr"/>
    </row>
    <row r="1409">
      <c r="A1409" t="inlineStr">
        <is>
          <t>EMD-28719</t>
        </is>
      </c>
      <c r="B1409" t="inlineStr">
        <is>
          <t>non-amyloid</t>
        </is>
      </c>
      <c r="C1409" t="n">
        <v>9.5</v>
      </c>
      <c r="D1409" t="n">
        <v>1.56</v>
      </c>
      <c r="E1409" t="n">
        <v>10.52</v>
      </c>
      <c r="F1409" t="inlineStr">
        <is>
          <t>C1</t>
        </is>
      </c>
      <c r="G1409" t="inlineStr">
        <is>
          <t>1.56</t>
        </is>
      </c>
      <c r="H1409" t="n">
        <v>10.52</v>
      </c>
      <c r="I1409" t="inlineStr">
        <is>
          <t>C1</t>
        </is>
      </c>
      <c r="J1409" t="n">
        <v>0</v>
      </c>
      <c r="K1409" t="inlineStr"/>
      <c r="L1409" t="n">
        <v>0.743825544</v>
      </c>
      <c r="M1409" t="n">
        <v>0.743825544</v>
      </c>
      <c r="N1409" t="inlineStr">
        <is>
          <t>No</t>
        </is>
      </c>
      <c r="O1409" t="inlineStr">
        <is>
          <t>equal</t>
        </is>
      </c>
      <c r="P1409" t="inlineStr">
        <is>
          <t>deposited</t>
        </is>
      </c>
      <c r="Q1409" t="inlineStr"/>
      <c r="R1409" t="inlineStr"/>
      <c r="S1409">
        <f>HYPERLINK("https://helical-indexing-hi3d.streamlit.app/?emd_id=emd-28719&amp;rise=1.56&amp;twist=10.52&amp;csym=1&amp;rise2=1.56&amp;twist2=10.52&amp;csym2=1", "Link")</f>
        <v/>
      </c>
    </row>
    <row r="1410">
      <c r="A1410" t="inlineStr">
        <is>
          <t>EMD-12094</t>
        </is>
      </c>
      <c r="B1410" t="inlineStr">
        <is>
          <t>non-amyloid</t>
        </is>
      </c>
      <c r="C1410" t="n">
        <v>9.5</v>
      </c>
      <c r="D1410" t="n">
        <v>31.2392</v>
      </c>
      <c r="E1410" t="n">
        <v>40.0259</v>
      </c>
      <c r="F1410" t="inlineStr">
        <is>
          <t>C2</t>
        </is>
      </c>
      <c r="G1410" t="inlineStr">
        <is>
          <t>30.89635984</t>
        </is>
      </c>
      <c r="H1410" t="n">
        <v>39.97982116</v>
      </c>
      <c r="I1410" t="inlineStr">
        <is>
          <t>C2</t>
        </is>
      </c>
      <c r="J1410" t="n">
        <v>0.3429335714652947</v>
      </c>
      <c r="K1410" t="inlineStr"/>
      <c r="L1410" t="n">
        <v>0.84407</v>
      </c>
      <c r="M1410" t="n">
        <v>0.844493703</v>
      </c>
      <c r="N1410" t="inlineStr">
        <is>
          <t>Yes</t>
        </is>
      </c>
      <c r="O1410" t="inlineStr">
        <is>
          <t>improve</t>
        </is>
      </c>
      <c r="P1410" t="inlineStr">
        <is>
          <t>adjusted decimals</t>
        </is>
      </c>
      <c r="Q1410" t="inlineStr"/>
      <c r="R1410" t="inlineStr"/>
      <c r="S1410">
        <f>HYPERLINK("https://helical-indexing-hi3d.streamlit.app/?emd_id=emd-12094&amp;rise=30.89635984&amp;twist=39.97982116&amp;csym=2&amp;rise2=31.2392&amp;twist2=40.0259&amp;csym2=2", "Link")</f>
        <v/>
      </c>
    </row>
    <row r="1411">
      <c r="A1411" t="inlineStr">
        <is>
          <t>EMD-5890</t>
        </is>
      </c>
      <c r="B1411" t="inlineStr">
        <is>
          <t>non-amyloid</t>
        </is>
      </c>
      <c r="C1411" t="n">
        <v>9.6</v>
      </c>
      <c r="D1411" t="n">
        <v>16.8</v>
      </c>
      <c r="E1411" t="n">
        <v>53.6</v>
      </c>
      <c r="F1411" t="inlineStr">
        <is>
          <t>C3</t>
        </is>
      </c>
      <c r="G1411" t="inlineStr">
        <is>
          <t>16.66535534</t>
        </is>
      </c>
      <c r="H1411" t="n">
        <v>-53.57668746</v>
      </c>
      <c r="I1411" t="inlineStr">
        <is>
          <t>C3</t>
        </is>
      </c>
      <c r="J1411" t="n">
        <v>1.327935233833534</v>
      </c>
      <c r="K1411" t="inlineStr">
        <is>
          <t> </t>
        </is>
      </c>
      <c r="L1411" t="n">
        <v>0.44644</v>
      </c>
      <c r="M1411" t="n">
        <v>0.948756021</v>
      </c>
      <c r="N1411" t="inlineStr">
        <is>
          <t>Yes</t>
        </is>
      </c>
      <c r="O1411" t="inlineStr">
        <is>
          <t>improve</t>
        </is>
      </c>
      <c r="P1411" t="inlineStr">
        <is>
          <t>twist sign</t>
        </is>
      </c>
      <c r="Q1411" t="inlineStr"/>
      <c r="R1411" t="inlineStr"/>
      <c r="S1411">
        <f>HYPERLINK("https://helical-indexing-hi3d.streamlit.app/?emd_id=emd-5890&amp;rise=16.66535534&amp;twist=-53.57668746&amp;csym=3&amp;rise2=16.8&amp;twist2=53.6&amp;csym2=3", "Link")</f>
        <v/>
      </c>
    </row>
    <row r="1412">
      <c r="A1412" t="inlineStr">
        <is>
          <t>EMD-2244</t>
        </is>
      </c>
      <c r="B1412" t="inlineStr">
        <is>
          <t>non-amyloid</t>
        </is>
      </c>
      <c r="C1412" t="n">
        <v>9.6</v>
      </c>
      <c r="D1412" t="n">
        <v>37.9</v>
      </c>
      <c r="E1412" t="n">
        <v>22.04</v>
      </c>
      <c r="F1412" t="inlineStr">
        <is>
          <t>C6</t>
        </is>
      </c>
      <c r="G1412" t="inlineStr">
        <is>
          <t>37.9</t>
        </is>
      </c>
      <c r="H1412" t="n">
        <v>21.5992</v>
      </c>
      <c r="I1412" t="inlineStr">
        <is>
          <t>C6</t>
        </is>
      </c>
      <c r="J1412" t="n">
        <v>0.15679995550268</v>
      </c>
      <c r="K1412" t="inlineStr"/>
      <c r="L1412" t="n">
        <v>0.6012</v>
      </c>
      <c r="M1412" t="n">
        <v>0.80292</v>
      </c>
      <c r="N1412" t="inlineStr">
        <is>
          <t>Yes</t>
        </is>
      </c>
      <c r="O1412" t="inlineStr">
        <is>
          <t>improve</t>
        </is>
      </c>
      <c r="P1412" t="inlineStr">
        <is>
          <t>adjusted decimals</t>
        </is>
      </c>
      <c r="Q1412" t="inlineStr"/>
      <c r="R1412" t="inlineStr"/>
      <c r="S1412">
        <f>HYPERLINK("https://helical-indexing-hi3d.streamlit.app/?emd_id=emd-2244&amp;rise=37.9&amp;twist=21.5992&amp;csym=6&amp;rise2=37.9&amp;twist2=22.04&amp;csym2=6", "Link")</f>
        <v/>
      </c>
    </row>
    <row r="1413">
      <c r="A1413" t="inlineStr">
        <is>
          <t>EMD-28074</t>
        </is>
      </c>
      <c r="B1413" t="inlineStr">
        <is>
          <t>non-amyloid</t>
        </is>
      </c>
      <c r="C1413" t="n">
        <v>9.68</v>
      </c>
      <c r="D1413" t="n">
        <v>14.07</v>
      </c>
      <c r="E1413" t="n">
        <v>37.25</v>
      </c>
      <c r="F1413" t="inlineStr">
        <is>
          <t>C1</t>
        </is>
      </c>
      <c r="G1413" t="inlineStr">
        <is>
          <t>14.07</t>
        </is>
      </c>
      <c r="H1413" t="n">
        <v>37.25</v>
      </c>
      <c r="I1413" t="inlineStr">
        <is>
          <t>C1</t>
        </is>
      </c>
      <c r="J1413" t="n">
        <v>0</v>
      </c>
      <c r="K1413" t="inlineStr">
        <is>
          <t> </t>
        </is>
      </c>
      <c r="L1413" t="n">
        <v>0.911168895</v>
      </c>
      <c r="M1413" t="n">
        <v>0.911168895</v>
      </c>
      <c r="N1413" t="inlineStr">
        <is>
          <t>Yes</t>
        </is>
      </c>
      <c r="O1413" t="inlineStr">
        <is>
          <t>equal</t>
        </is>
      </c>
      <c r="P1413" t="inlineStr">
        <is>
          <t>deposited</t>
        </is>
      </c>
      <c r="Q1413" t="inlineStr"/>
      <c r="R1413" t="inlineStr"/>
      <c r="S1413">
        <f>HYPERLINK("https://helical-indexing-hi3d.streamlit.app/?emd_id=emd-28074&amp;rise=14.07&amp;twist=37.25&amp;csym=1&amp;rise2=14.07&amp;twist2=37.25&amp;csym2=1", "Link")</f>
        <v/>
      </c>
    </row>
    <row r="1414">
      <c r="A1414" t="inlineStr">
        <is>
          <t>EMD-5439</t>
        </is>
      </c>
      <c r="B1414" t="inlineStr">
        <is>
          <t>microtubule</t>
        </is>
      </c>
      <c r="C1414" t="n">
        <v>9.699999999999999</v>
      </c>
      <c r="D1414" t="n">
        <v>9.26</v>
      </c>
      <c r="E1414" t="n">
        <v>25.76</v>
      </c>
      <c r="F1414" t="inlineStr"/>
      <c r="G1414" t="inlineStr">
        <is>
          <t>9.26</t>
        </is>
      </c>
      <c r="H1414" t="n">
        <v>25.76</v>
      </c>
      <c r="I1414" t="inlineStr">
        <is>
          <t>Cnan</t>
        </is>
      </c>
      <c r="J1414" t="n">
        <v>0</v>
      </c>
      <c r="K1414" t="inlineStr">
        <is>
          <t> </t>
        </is>
      </c>
      <c r="L1414" t="n">
        <v>0.708475772</v>
      </c>
      <c r="M1414" t="n">
        <v>0.708475772</v>
      </c>
      <c r="N1414" t="inlineStr">
        <is>
          <t>Yes</t>
        </is>
      </c>
      <c r="O1414" t="inlineStr">
        <is>
          <t>equal</t>
        </is>
      </c>
      <c r="P1414" t="inlineStr">
        <is>
          <t>deposited</t>
        </is>
      </c>
      <c r="Q1414" t="inlineStr"/>
      <c r="R1414" t="inlineStr"/>
      <c r="S1414" t="inlineStr"/>
    </row>
    <row r="1415">
      <c r="A1415" t="inlineStr">
        <is>
          <t>EMD-2674</t>
        </is>
      </c>
      <c r="B1415" t="inlineStr">
        <is>
          <t>microtubule</t>
        </is>
      </c>
      <c r="C1415" t="n">
        <v>9.699999999999999</v>
      </c>
      <c r="D1415" t="n">
        <v>2.98</v>
      </c>
      <c r="E1415" t="n">
        <v>129</v>
      </c>
      <c r="F1415" t="inlineStr">
        <is>
          <t>C1</t>
        </is>
      </c>
      <c r="G1415" t="inlineStr">
        <is>
          <t>41.2306923</t>
        </is>
      </c>
      <c r="H1415" t="n">
        <v>-2.169982583</v>
      </c>
      <c r="I1415" t="inlineStr">
        <is>
          <t>C1</t>
        </is>
      </c>
      <c r="J1415" t="n">
        <v>38.97494446938613</v>
      </c>
      <c r="K1415" t="inlineStr">
        <is>
          <t> </t>
        </is>
      </c>
      <c r="L1415" t="n">
        <v>0.35233</v>
      </c>
      <c r="M1415" t="n">
        <v>0.974961685</v>
      </c>
      <c r="N1415" t="inlineStr">
        <is>
          <t>Yes</t>
        </is>
      </c>
      <c r="O1415" t="inlineStr">
        <is>
          <t>improve</t>
        </is>
      </c>
      <c r="P1415" t="inlineStr">
        <is>
          <t>different</t>
        </is>
      </c>
      <c r="Q1415" t="inlineStr"/>
      <c r="R1415" t="inlineStr"/>
      <c r="S1415">
        <f>HYPERLINK("https://helical-indexing-hi3d.streamlit.app/?emd_id=emd-2674&amp;rise=41.2306923&amp;twist=-2.169982583&amp;csym=1&amp;rise2=2.98&amp;twist2=129.0&amp;csym2=1", "Link")</f>
        <v/>
      </c>
    </row>
    <row r="1416">
      <c r="A1416" t="inlineStr">
        <is>
          <t>EMD-2673</t>
        </is>
      </c>
      <c r="B1416" t="inlineStr">
        <is>
          <t>microtubule</t>
        </is>
      </c>
      <c r="C1416" t="n">
        <v>9.699999999999999</v>
      </c>
      <c r="D1416" t="n">
        <v>2.98</v>
      </c>
      <c r="E1416" t="n">
        <v>129</v>
      </c>
      <c r="F1416" t="inlineStr">
        <is>
          <t>C1</t>
        </is>
      </c>
      <c r="G1416" t="inlineStr">
        <is>
          <t>41.58389479</t>
        </is>
      </c>
      <c r="H1416" t="n">
        <v>-0.223622103</v>
      </c>
      <c r="I1416" t="inlineStr">
        <is>
          <t>C1</t>
        </is>
      </c>
      <c r="J1416" t="n">
        <v>39.42132434595766</v>
      </c>
      <c r="K1416" t="inlineStr">
        <is>
          <t> </t>
        </is>
      </c>
      <c r="L1416" t="n">
        <v>0.13753</v>
      </c>
      <c r="M1416" t="n">
        <v>0.967551532</v>
      </c>
      <c r="N1416" t="inlineStr">
        <is>
          <t>Yes</t>
        </is>
      </c>
      <c r="O1416" t="inlineStr">
        <is>
          <t>improve</t>
        </is>
      </c>
      <c r="P1416" t="inlineStr">
        <is>
          <t>different</t>
        </is>
      </c>
      <c r="Q1416" t="inlineStr"/>
      <c r="R1416" t="inlineStr"/>
      <c r="S1416">
        <f>HYPERLINK("https://helical-indexing-hi3d.streamlit.app/?emd_id=emd-2673&amp;rise=41.58389479&amp;twist=-0.223622103&amp;csym=1&amp;rise2=2.98&amp;twist2=129.0&amp;csym2=1", "Link")</f>
        <v/>
      </c>
    </row>
    <row r="1417">
      <c r="A1417" t="inlineStr">
        <is>
          <t>EMD-7833</t>
        </is>
      </c>
      <c r="B1417" t="inlineStr">
        <is>
          <t>non-amyloid</t>
        </is>
      </c>
      <c r="C1417" t="n">
        <v>9.800000000000001</v>
      </c>
      <c r="D1417" t="n">
        <v>28.1</v>
      </c>
      <c r="E1417" t="n">
        <v>-166.75</v>
      </c>
      <c r="F1417" t="inlineStr">
        <is>
          <t>C1</t>
        </is>
      </c>
      <c r="G1417" t="inlineStr">
        <is>
          <t>28.1</t>
        </is>
      </c>
      <c r="H1417" t="n">
        <v>-166.75</v>
      </c>
      <c r="I1417" t="inlineStr">
        <is>
          <t>C1</t>
        </is>
      </c>
      <c r="J1417" t="n">
        <v>0</v>
      </c>
      <c r="K1417" t="inlineStr"/>
      <c r="L1417" t="n">
        <v>0.980136129</v>
      </c>
      <c r="M1417" t="n">
        <v>0.980136129</v>
      </c>
      <c r="N1417" t="inlineStr">
        <is>
          <t>Yes</t>
        </is>
      </c>
      <c r="O1417" t="inlineStr">
        <is>
          <t>equal</t>
        </is>
      </c>
      <c r="P1417" t="inlineStr">
        <is>
          <t>deposited</t>
        </is>
      </c>
      <c r="Q1417" t="inlineStr"/>
      <c r="R1417" t="inlineStr"/>
      <c r="S1417">
        <f>HYPERLINK("https://helical-indexing-hi3d.streamlit.app/?emd_id=emd-7833&amp;rise=28.1&amp;twist=-166.75&amp;csym=1&amp;rise2=28.1&amp;twist2=-166.75&amp;csym2=1", "Link")</f>
        <v/>
      </c>
    </row>
    <row r="1418">
      <c r="A1418" t="inlineStr">
        <is>
          <t>EMD-4426</t>
        </is>
      </c>
      <c r="B1418" t="inlineStr">
        <is>
          <t>non-amyloid</t>
        </is>
      </c>
      <c r="C1418" t="n">
        <v>10</v>
      </c>
      <c r="D1418" t="n">
        <v>29.26</v>
      </c>
      <c r="E1418" t="n">
        <v>-55.82</v>
      </c>
      <c r="F1418" t="inlineStr">
        <is>
          <t>D1</t>
        </is>
      </c>
      <c r="G1418" t="inlineStr">
        <is>
          <t>29.26</t>
        </is>
      </c>
      <c r="H1418" t="n">
        <v>-55.82</v>
      </c>
      <c r="I1418" t="inlineStr">
        <is>
          <t>CD1</t>
        </is>
      </c>
      <c r="J1418" t="n">
        <v>0</v>
      </c>
      <c r="K1418" t="inlineStr"/>
      <c r="L1418" t="n">
        <v>0.99884</v>
      </c>
      <c r="M1418" t="n">
        <v>0.99884</v>
      </c>
      <c r="N1418" t="inlineStr">
        <is>
          <t>Yes</t>
        </is>
      </c>
      <c r="O1418" t="inlineStr">
        <is>
          <t>equal</t>
        </is>
      </c>
      <c r="P1418" t="inlineStr">
        <is>
          <t>deposited</t>
        </is>
      </c>
      <c r="Q1418" t="inlineStr"/>
      <c r="R1418" t="inlineStr"/>
      <c r="S1418">
        <f>HYPERLINK("https://helical-indexing-hi3d.streamlit.app/?emd_id=emd-4426&amp;rise=29.26&amp;twist=-55.82&amp;csym=D1&amp;rise2=29.26&amp;twist2=-55.82&amp;csym2=1", "Link")</f>
        <v/>
      </c>
    </row>
    <row r="1419">
      <c r="A1419" t="inlineStr">
        <is>
          <t>EMD-5341</t>
        </is>
      </c>
      <c r="B1419" t="inlineStr">
        <is>
          <t>non-amyloid</t>
        </is>
      </c>
      <c r="C1419" t="n">
        <v>10</v>
      </c>
      <c r="D1419" t="n">
        <v>25.7</v>
      </c>
      <c r="E1419" t="n">
        <v>5.3</v>
      </c>
      <c r="F1419" t="inlineStr">
        <is>
          <t>C9</t>
        </is>
      </c>
      <c r="G1419" t="inlineStr">
        <is>
          <t>25.55285897</t>
        </is>
      </c>
      <c r="H1419" t="n">
        <v>-5.290313875</v>
      </c>
      <c r="I1419" t="inlineStr">
        <is>
          <t>C9</t>
        </is>
      </c>
      <c r="J1419" t="n">
        <v>1.360320231869906</v>
      </c>
      <c r="K1419" t="inlineStr">
        <is>
          <t> </t>
        </is>
      </c>
      <c r="L1419" t="n">
        <v>0.67740709</v>
      </c>
      <c r="M1419" t="n">
        <v>0.95661286</v>
      </c>
      <c r="N1419" t="inlineStr">
        <is>
          <t>Yes</t>
        </is>
      </c>
      <c r="O1419" t="inlineStr">
        <is>
          <t>improve</t>
        </is>
      </c>
      <c r="P1419" t="inlineStr">
        <is>
          <t>twist sign</t>
        </is>
      </c>
      <c r="Q1419" t="inlineStr"/>
      <c r="R1419" t="inlineStr"/>
      <c r="S1419">
        <f>HYPERLINK("https://helical-indexing-hi3d.streamlit.app/?emd_id=emd-5341&amp;rise=25.55285897&amp;twist=-5.290313875&amp;csym=9&amp;rise2=25.7&amp;twist2=5.3&amp;csym2=9", "Link")</f>
        <v/>
      </c>
    </row>
    <row r="1420">
      <c r="A1420" t="inlineStr">
        <is>
          <t>EMD-4412</t>
        </is>
      </c>
      <c r="B1420" t="inlineStr">
        <is>
          <t>non-amyloid</t>
        </is>
      </c>
      <c r="C1420" t="n">
        <v>10</v>
      </c>
      <c r="D1420" t="n">
        <v>34.47</v>
      </c>
      <c r="E1420" t="n">
        <v>-68.33</v>
      </c>
      <c r="F1420" t="inlineStr">
        <is>
          <t>D1</t>
        </is>
      </c>
      <c r="G1420" t="inlineStr">
        <is>
          <t>34.47</t>
        </is>
      </c>
      <c r="H1420" t="n">
        <v>-68.33</v>
      </c>
      <c r="I1420" t="inlineStr">
        <is>
          <t>CD1</t>
        </is>
      </c>
      <c r="J1420" t="n">
        <v>0</v>
      </c>
      <c r="K1420" t="inlineStr"/>
      <c r="L1420" t="n">
        <v>0.99877</v>
      </c>
      <c r="M1420" t="n">
        <v>0.99877</v>
      </c>
      <c r="N1420" t="inlineStr">
        <is>
          <t>Yes</t>
        </is>
      </c>
      <c r="O1420" t="inlineStr">
        <is>
          <t>equal</t>
        </is>
      </c>
      <c r="P1420" t="inlineStr">
        <is>
          <t>deposited</t>
        </is>
      </c>
      <c r="Q1420" t="inlineStr"/>
      <c r="R1420" t="inlineStr"/>
      <c r="S1420">
        <f>HYPERLINK("https://helical-indexing-hi3d.streamlit.app/?emd_id=emd-4412&amp;rise=34.47&amp;twist=-68.33&amp;csym=D1&amp;rise2=34.47&amp;twist2=-68.33&amp;csym2=1", "Link")</f>
        <v/>
      </c>
    </row>
    <row r="1421">
      <c r="A1421" t="inlineStr">
        <is>
          <t>EMD-30593</t>
        </is>
      </c>
      <c r="B1421" t="inlineStr">
        <is>
          <t>non-amyloid</t>
        </is>
      </c>
      <c r="C1421" t="n">
        <v>10</v>
      </c>
      <c r="D1421" t="n">
        <v>7.51</v>
      </c>
      <c r="E1421" t="n">
        <v>51.51</v>
      </c>
      <c r="F1421" t="inlineStr">
        <is>
          <t>C1</t>
        </is>
      </c>
      <c r="G1421" t="inlineStr">
        <is>
          <t>7.458355416</t>
        </is>
      </c>
      <c r="H1421" t="n">
        <v>-51.54414407</v>
      </c>
      <c r="I1421" t="inlineStr">
        <is>
          <t>C1</t>
        </is>
      </c>
      <c r="J1421" t="n">
        <v>420.0310210149827</v>
      </c>
      <c r="K1421" t="inlineStr">
        <is>
          <t> </t>
        </is>
      </c>
      <c r="L1421" t="n">
        <v>0.4171537977661501</v>
      </c>
      <c r="M1421" t="n">
        <v>0.954632262537322</v>
      </c>
      <c r="N1421" t="inlineStr">
        <is>
          <t>Yes</t>
        </is>
      </c>
      <c r="O1421" t="inlineStr">
        <is>
          <t>improve</t>
        </is>
      </c>
      <c r="P1421" t="inlineStr">
        <is>
          <t>twist sign</t>
        </is>
      </c>
      <c r="Q1421" t="inlineStr"/>
      <c r="R1421" t="inlineStr"/>
      <c r="S1421">
        <f>HYPERLINK("https://helical-indexing-hi3d.streamlit.app/?emd_id=emd-30593&amp;rise=7.458355416&amp;twist=-51.54414407&amp;csym=1&amp;rise2=7.51&amp;twist2=51.51&amp;csym2=1", "Link")</f>
        <v/>
      </c>
    </row>
    <row r="1422">
      <c r="A1422" t="inlineStr">
        <is>
          <t>EMD-4423</t>
        </is>
      </c>
      <c r="B1422" t="inlineStr">
        <is>
          <t>non-amyloid</t>
        </is>
      </c>
      <c r="C1422" t="n">
        <v>10</v>
      </c>
      <c r="D1422" t="n">
        <v>34.16</v>
      </c>
      <c r="E1422" t="n">
        <v>-65.95</v>
      </c>
      <c r="F1422" t="inlineStr">
        <is>
          <t>D1</t>
        </is>
      </c>
      <c r="G1422" t="inlineStr">
        <is>
          <t>34.16</t>
        </is>
      </c>
      <c r="H1422" t="n">
        <v>-65.95</v>
      </c>
      <c r="I1422" t="inlineStr">
        <is>
          <t>CD1</t>
        </is>
      </c>
      <c r="J1422" t="n">
        <v>0</v>
      </c>
      <c r="K1422" t="inlineStr"/>
      <c r="L1422" t="n">
        <v>0.9988899999999999</v>
      </c>
      <c r="M1422" t="n">
        <v>0.9988899999999999</v>
      </c>
      <c r="N1422" t="inlineStr">
        <is>
          <t>Yes</t>
        </is>
      </c>
      <c r="O1422" t="inlineStr">
        <is>
          <t>equal</t>
        </is>
      </c>
      <c r="P1422" t="inlineStr">
        <is>
          <t>deposited</t>
        </is>
      </c>
      <c r="Q1422" t="inlineStr"/>
      <c r="R1422" t="inlineStr"/>
      <c r="S1422">
        <f>HYPERLINK("https://helical-indexing-hi3d.streamlit.app/?emd_id=emd-4423&amp;rise=34.16&amp;twist=-65.95&amp;csym=D1&amp;rise2=34.16&amp;twist2=-65.95&amp;csym2=1", "Link")</f>
        <v/>
      </c>
    </row>
    <row r="1423">
      <c r="A1423" t="inlineStr">
        <is>
          <t>EMD-5052</t>
        </is>
      </c>
      <c r="B1423" t="inlineStr">
        <is>
          <t>amyloid</t>
        </is>
      </c>
      <c r="C1423" t="n">
        <v>10</v>
      </c>
      <c r="D1423" t="inlineStr"/>
      <c r="E1423" t="inlineStr"/>
      <c r="F1423" t="inlineStr">
        <is>
          <t>C2</t>
        </is>
      </c>
      <c r="G1423" t="inlineStr">
        <is>
          <t>4.8</t>
        </is>
      </c>
      <c r="H1423" t="n">
        <v>-4</v>
      </c>
      <c r="I1423" t="inlineStr">
        <is>
          <t>C2</t>
        </is>
      </c>
      <c r="J1423" t="inlineStr"/>
      <c r="K1423" t="inlineStr">
        <is>
          <t> </t>
        </is>
      </c>
      <c r="L1423" t="inlineStr"/>
      <c r="M1423" t="n">
        <v>0.83095</v>
      </c>
      <c r="N1423" t="inlineStr">
        <is>
          <t>Yes</t>
        </is>
      </c>
      <c r="O1423" t="inlineStr">
        <is>
          <t>improve</t>
        </is>
      </c>
      <c r="P1423" t="inlineStr">
        <is>
          <t>no EMDB values</t>
        </is>
      </c>
      <c r="Q1423" t="inlineStr"/>
      <c r="R1423" t="inlineStr"/>
      <c r="S1423">
        <f>HYPERLINK("https://helical-indexing-hi3d.streamlit.app/?emd_id=emd-5052&amp;rise=4.8&amp;twist=-4.0&amp;csym=2&amp;rise2=nan&amp;twist2=nan&amp;csym2=2", "Link")</f>
        <v/>
      </c>
    </row>
    <row r="1424">
      <c r="A1424" t="inlineStr">
        <is>
          <t>EMD-20842</t>
        </is>
      </c>
      <c r="B1424" t="inlineStr">
        <is>
          <t>non-amyloid</t>
        </is>
      </c>
      <c r="C1424" t="n">
        <v>10</v>
      </c>
      <c r="D1424" t="n">
        <v>17.8</v>
      </c>
      <c r="E1424" t="n">
        <v>59.1</v>
      </c>
      <c r="F1424" t="inlineStr">
        <is>
          <t>C1</t>
        </is>
      </c>
      <c r="G1424" t="inlineStr">
        <is>
          <t>17.8</t>
        </is>
      </c>
      <c r="H1424" t="n">
        <v>59.1</v>
      </c>
      <c r="I1424" t="inlineStr">
        <is>
          <t>C1</t>
        </is>
      </c>
      <c r="J1424" t="n">
        <v>0</v>
      </c>
      <c r="K1424" t="inlineStr"/>
      <c r="L1424" t="n">
        <v>0.9558</v>
      </c>
      <c r="M1424" t="n">
        <v>0.9558</v>
      </c>
      <c r="N1424" t="inlineStr">
        <is>
          <t>Yes</t>
        </is>
      </c>
      <c r="O1424" t="inlineStr">
        <is>
          <t>equal</t>
        </is>
      </c>
      <c r="P1424" t="inlineStr">
        <is>
          <t>deposited</t>
        </is>
      </c>
      <c r="Q1424" t="inlineStr"/>
      <c r="R1424" t="inlineStr"/>
      <c r="S1424">
        <f>HYPERLINK("https://helical-indexing-hi3d.streamlit.app/?emd_id=emd-20842&amp;rise=17.8&amp;twist=59.1&amp;csym=1&amp;rise2=17.8&amp;twist2=59.1&amp;csym2=1", "Link")</f>
        <v/>
      </c>
    </row>
    <row r="1425">
      <c r="A1425" t="inlineStr">
        <is>
          <t>EMD-5271</t>
        </is>
      </c>
      <c r="B1425" t="inlineStr">
        <is>
          <t>non-amyloid</t>
        </is>
      </c>
      <c r="C1425" t="n">
        <v>10</v>
      </c>
      <c r="D1425" t="inlineStr"/>
      <c r="E1425" t="inlineStr"/>
      <c r="F1425" t="inlineStr"/>
      <c r="G1425" t="inlineStr"/>
      <c r="H1425" t="inlineStr"/>
      <c r="I1425" t="inlineStr">
        <is>
          <t>C1</t>
        </is>
      </c>
      <c r="J1425" t="inlineStr"/>
      <c r="K1425" t="inlineStr"/>
      <c r="L1425" t="inlineStr"/>
      <c r="M1425" t="inlineStr"/>
      <c r="N1425" t="inlineStr">
        <is>
          <t>No</t>
        </is>
      </c>
      <c r="O1425" t="inlineStr"/>
      <c r="P1425" t="inlineStr">
        <is>
          <t>single unit</t>
        </is>
      </c>
      <c r="Q1425" t="inlineStr"/>
      <c r="R1425" t="inlineStr"/>
      <c r="S1425" t="inlineStr"/>
    </row>
    <row r="1426">
      <c r="A1426" t="inlineStr">
        <is>
          <t>EMD-7958</t>
        </is>
      </c>
      <c r="B1426" t="inlineStr">
        <is>
          <t>non-amyloid</t>
        </is>
      </c>
      <c r="C1426" t="n">
        <v>10.1</v>
      </c>
      <c r="D1426" t="n">
        <v>14.63</v>
      </c>
      <c r="E1426" t="n">
        <v>26.14</v>
      </c>
      <c r="F1426" t="inlineStr">
        <is>
          <t>C1</t>
        </is>
      </c>
      <c r="G1426" t="inlineStr">
        <is>
          <t>7.284666687</t>
        </is>
      </c>
      <c r="H1426" t="n">
        <v>-166.9294138</v>
      </c>
      <c r="I1426" t="inlineStr">
        <is>
          <t>C1</t>
        </is>
      </c>
      <c r="J1426" t="n">
        <v>125.5986577818987</v>
      </c>
      <c r="K1426" t="inlineStr"/>
      <c r="L1426" t="n">
        <v>0.9398117540000001</v>
      </c>
      <c r="M1426" t="n">
        <v>0.945420861</v>
      </c>
      <c r="N1426" t="inlineStr">
        <is>
          <t>Yes</t>
        </is>
      </c>
      <c r="O1426" t="inlineStr">
        <is>
          <t>improve</t>
        </is>
      </c>
      <c r="P1426" t="inlineStr">
        <is>
          <t>different</t>
        </is>
      </c>
      <c r="Q1426" t="inlineStr">
        <is>
          <t>partial symmetry</t>
        </is>
      </c>
      <c r="R1426" t="inlineStr"/>
      <c r="S1426">
        <f>HYPERLINK("https://helical-indexing-hi3d.streamlit.app/?emd_id=emd-7958&amp;rise=7.284666687&amp;twist=-166.9294138&amp;csym=1&amp;rise2=14.63&amp;twist2=26.14&amp;csym2=1", "Link")</f>
        <v/>
      </c>
    </row>
    <row r="1427">
      <c r="A1427" t="inlineStr">
        <is>
          <t>EMD-1701</t>
        </is>
      </c>
      <c r="B1427" t="inlineStr">
        <is>
          <t>microtubule</t>
        </is>
      </c>
      <c r="C1427" t="n">
        <v>10.1</v>
      </c>
      <c r="D1427" t="inlineStr"/>
      <c r="E1427" t="inlineStr"/>
      <c r="F1427" t="inlineStr"/>
      <c r="G1427" t="inlineStr">
        <is>
          <t>5.34851476</t>
        </is>
      </c>
      <c r="H1427" t="n">
        <v>168.0921461</v>
      </c>
      <c r="I1427" t="inlineStr">
        <is>
          <t>Cnan</t>
        </is>
      </c>
      <c r="J1427" t="inlineStr"/>
      <c r="K1427" t="inlineStr">
        <is>
          <t> </t>
        </is>
      </c>
      <c r="L1427" t="inlineStr"/>
      <c r="M1427" t="n">
        <v>0.981789925</v>
      </c>
      <c r="N1427" t="inlineStr">
        <is>
          <t>Yes</t>
        </is>
      </c>
      <c r="O1427" t="inlineStr">
        <is>
          <t>improve</t>
        </is>
      </c>
      <c r="P1427" t="inlineStr">
        <is>
          <t>no EMDB values</t>
        </is>
      </c>
      <c r="Q1427" t="inlineStr"/>
      <c r="R1427" t="inlineStr"/>
      <c r="S1427" t="inlineStr"/>
    </row>
    <row r="1428">
      <c r="A1428" t="inlineStr">
        <is>
          <t>EMD-1698</t>
        </is>
      </c>
      <c r="B1428" t="inlineStr">
        <is>
          <t>non-amyloid</t>
        </is>
      </c>
      <c r="C1428" t="n">
        <v>10.2</v>
      </c>
      <c r="D1428" t="n">
        <v>32</v>
      </c>
      <c r="E1428" t="n">
        <v>9.6</v>
      </c>
      <c r="F1428" t="inlineStr">
        <is>
          <t>D12</t>
        </is>
      </c>
      <c r="G1428" t="inlineStr">
        <is>
          <t>32.15364748</t>
        </is>
      </c>
      <c r="H1428" t="n">
        <v>-9.535808287</v>
      </c>
      <c r="I1428" t="inlineStr">
        <is>
          <t>C12</t>
        </is>
      </c>
      <c r="J1428" t="n">
        <v>69.29784360256374</v>
      </c>
      <c r="K1428" t="inlineStr">
        <is>
          <t> </t>
        </is>
      </c>
      <c r="L1428" t="n">
        <v>0.82903</v>
      </c>
      <c r="M1428" t="n">
        <v>0.9663417909999999</v>
      </c>
      <c r="N1428" t="inlineStr">
        <is>
          <t>Yes</t>
        </is>
      </c>
      <c r="O1428" t="inlineStr">
        <is>
          <t>improve</t>
        </is>
      </c>
      <c r="P1428" t="inlineStr">
        <is>
          <t>twist sign</t>
        </is>
      </c>
      <c r="Q1428" t="inlineStr"/>
      <c r="R1428" t="inlineStr"/>
      <c r="S1428">
        <f>HYPERLINK("https://helical-indexing-hi3d.streamlit.app/?emd_id=emd-1698&amp;rise=32.15364748&amp;twist=-9.535808287&amp;csym=12&amp;rise2=32.0&amp;twist2=9.6&amp;csym2=12", "Link")</f>
        <v/>
      </c>
    </row>
    <row r="1429">
      <c r="A1429" t="inlineStr">
        <is>
          <t>EMD-3192</t>
        </is>
      </c>
      <c r="B1429" t="inlineStr">
        <is>
          <t>non-amyloid</t>
        </is>
      </c>
      <c r="C1429" t="n">
        <v>10.3</v>
      </c>
      <c r="D1429" t="n">
        <v>3.81</v>
      </c>
      <c r="E1429" t="n">
        <v>55.92</v>
      </c>
      <c r="F1429" t="inlineStr">
        <is>
          <t>C1</t>
        </is>
      </c>
      <c r="G1429" t="inlineStr">
        <is>
          <t>3.811183541</t>
        </is>
      </c>
      <c r="H1429" t="n">
        <v>55.9153112</v>
      </c>
      <c r="I1429" t="inlineStr">
        <is>
          <t>C1</t>
        </is>
      </c>
      <c r="J1429" t="n">
        <v>0.002093845</v>
      </c>
      <c r="K1429" t="inlineStr"/>
      <c r="L1429" t="n">
        <v>0.94403</v>
      </c>
      <c r="M1429" t="n">
        <v>0.944030782</v>
      </c>
      <c r="N1429" t="inlineStr">
        <is>
          <t>Yes</t>
        </is>
      </c>
      <c r="O1429" t="inlineStr">
        <is>
          <t>improve</t>
        </is>
      </c>
      <c r="P1429" t="inlineStr">
        <is>
          <t>adjusted decimals</t>
        </is>
      </c>
      <c r="Q1429" t="inlineStr"/>
      <c r="R1429" t="inlineStr"/>
      <c r="S1429">
        <f>HYPERLINK("https://helical-indexing-hi3d.streamlit.app/?emd_id=emd-3192&amp;rise=3.811183541&amp;twist=55.9153112&amp;csym=1&amp;rise2=3.81&amp;twist2=55.92&amp;csym2=1", "Link")</f>
        <v/>
      </c>
    </row>
    <row r="1430">
      <c r="A1430" t="inlineStr">
        <is>
          <t>EMD-2937</t>
        </is>
      </c>
      <c r="B1430" t="inlineStr">
        <is>
          <t>non-amyloid</t>
        </is>
      </c>
      <c r="C1430" t="n">
        <v>10.3</v>
      </c>
      <c r="D1430" t="n">
        <v>10.09</v>
      </c>
      <c r="E1430" t="n">
        <v>26.71</v>
      </c>
      <c r="F1430" t="inlineStr">
        <is>
          <t>C1</t>
        </is>
      </c>
      <c r="G1430" t="inlineStr">
        <is>
          <t>10.14525144</t>
        </is>
      </c>
      <c r="H1430" t="n">
        <v>-26.72160215</v>
      </c>
      <c r="I1430" t="inlineStr">
        <is>
          <t>C1</t>
        </is>
      </c>
      <c r="J1430" t="n">
        <v>10.09675051461539</v>
      </c>
      <c r="K1430" t="inlineStr">
        <is>
          <t> </t>
        </is>
      </c>
      <c r="L1430" t="n">
        <v>0.53098</v>
      </c>
      <c r="M1430" t="n">
        <v>0.994795911</v>
      </c>
      <c r="N1430" t="inlineStr">
        <is>
          <t>Yes</t>
        </is>
      </c>
      <c r="O1430" t="inlineStr">
        <is>
          <t>improve</t>
        </is>
      </c>
      <c r="P1430" t="inlineStr">
        <is>
          <t>twist sign</t>
        </is>
      </c>
      <c r="Q1430" t="inlineStr"/>
      <c r="R1430" t="inlineStr"/>
      <c r="S1430">
        <f>HYPERLINK("https://helical-indexing-hi3d.streamlit.app/?emd_id=emd-2937&amp;rise=10.14525144&amp;twist=-26.72160215&amp;csym=1&amp;rise2=10.09&amp;twist2=26.71&amp;csym2=1", "Link")</f>
        <v/>
      </c>
    </row>
    <row r="1431">
      <c r="A1431" t="inlineStr">
        <is>
          <t>EMD-4003</t>
        </is>
      </c>
      <c r="B1431" t="inlineStr">
        <is>
          <t>non-amyloid</t>
        </is>
      </c>
      <c r="C1431" t="n">
        <v>10.4</v>
      </c>
      <c r="D1431" t="n">
        <v>38.25</v>
      </c>
      <c r="E1431" t="n">
        <v>21.01</v>
      </c>
      <c r="F1431" t="inlineStr">
        <is>
          <t>C6</t>
        </is>
      </c>
      <c r="G1431" t="inlineStr">
        <is>
          <t>38.25</t>
        </is>
      </c>
      <c r="H1431" t="n">
        <v>21.01</v>
      </c>
      <c r="I1431" t="inlineStr">
        <is>
          <t>C6</t>
        </is>
      </c>
      <c r="J1431" t="n">
        <v>0</v>
      </c>
      <c r="K1431" t="inlineStr"/>
      <c r="L1431" t="n">
        <v>0.99934</v>
      </c>
      <c r="M1431" t="n">
        <v>0.99934</v>
      </c>
      <c r="N1431" t="inlineStr">
        <is>
          <t>Yes</t>
        </is>
      </c>
      <c r="O1431" t="inlineStr">
        <is>
          <t>equal</t>
        </is>
      </c>
      <c r="P1431" t="inlineStr">
        <is>
          <t>deposited</t>
        </is>
      </c>
      <c r="Q1431" t="inlineStr"/>
      <c r="R1431" t="inlineStr"/>
      <c r="S1431">
        <f>HYPERLINK("https://helical-indexing-hi3d.streamlit.app/?emd_id=emd-4003&amp;rise=38.25&amp;twist=21.01&amp;csym=6&amp;rise2=38.25&amp;twist2=21.01&amp;csym2=6", "Link")</f>
        <v/>
      </c>
    </row>
    <row r="1432">
      <c r="A1432" t="inlineStr">
        <is>
          <t>EMD-30278</t>
        </is>
      </c>
      <c r="B1432" t="inlineStr">
        <is>
          <t>non-amyloid</t>
        </is>
      </c>
      <c r="C1432" t="n">
        <v>10.4</v>
      </c>
      <c r="D1432" t="n">
        <v>18.5</v>
      </c>
      <c r="E1432" t="n">
        <v>102.3</v>
      </c>
      <c r="F1432" t="inlineStr">
        <is>
          <t>C1</t>
        </is>
      </c>
      <c r="G1432" t="inlineStr">
        <is>
          <t>18.5</t>
        </is>
      </c>
      <c r="H1432" t="n">
        <v>102.3</v>
      </c>
      <c r="I1432" t="inlineStr">
        <is>
          <t>C1</t>
        </is>
      </c>
      <c r="J1432" t="n">
        <v>0</v>
      </c>
      <c r="K1432" t="inlineStr"/>
      <c r="L1432" t="n">
        <v>0.95861</v>
      </c>
      <c r="M1432" t="n">
        <v>0.95861</v>
      </c>
      <c r="N1432" t="inlineStr">
        <is>
          <t>Yes</t>
        </is>
      </c>
      <c r="O1432" t="inlineStr">
        <is>
          <t>equal</t>
        </is>
      </c>
      <c r="P1432" t="inlineStr">
        <is>
          <t>deposited</t>
        </is>
      </c>
      <c r="Q1432" t="inlineStr"/>
      <c r="R1432" t="inlineStr"/>
      <c r="S1432">
        <f>HYPERLINK("https://helical-indexing-hi3d.streamlit.app/?emd_id=emd-30278&amp;rise=18.5&amp;twist=102.3&amp;csym=1&amp;rise2=18.5&amp;twist2=102.3&amp;csym2=1", "Link")</f>
        <v/>
      </c>
    </row>
    <row r="1433">
      <c r="A1433" t="inlineStr">
        <is>
          <t>EMD-9231</t>
        </is>
      </c>
      <c r="B1433" t="inlineStr">
        <is>
          <t>non-amyloid</t>
        </is>
      </c>
      <c r="C1433" t="n">
        <v>10.4</v>
      </c>
      <c r="D1433" t="n">
        <v>7.3</v>
      </c>
      <c r="E1433" t="n">
        <v>78.48</v>
      </c>
      <c r="F1433" t="inlineStr">
        <is>
          <t>C1</t>
        </is>
      </c>
      <c r="G1433" t="inlineStr">
        <is>
          <t>7.298004655</t>
        </is>
      </c>
      <c r="H1433" t="n">
        <v>-78.47085445</v>
      </c>
      <c r="I1433" t="inlineStr">
        <is>
          <t>C1</t>
        </is>
      </c>
      <c r="J1433" t="n">
        <v>60.60406443</v>
      </c>
      <c r="K1433" t="inlineStr">
        <is>
          <t> </t>
        </is>
      </c>
      <c r="L1433" t="n">
        <v>0.711921391</v>
      </c>
      <c r="M1433" t="n">
        <v>0.9549820999999999</v>
      </c>
      <c r="N1433" t="inlineStr">
        <is>
          <t>Yes</t>
        </is>
      </c>
      <c r="O1433" t="inlineStr">
        <is>
          <t>improve</t>
        </is>
      </c>
      <c r="P1433" t="inlineStr">
        <is>
          <t>twist sign</t>
        </is>
      </c>
      <c r="Q1433" t="inlineStr"/>
      <c r="R1433" t="inlineStr"/>
      <c r="S1433">
        <f>HYPERLINK("https://helical-indexing-hi3d.streamlit.app/?emd_id=emd-9231&amp;rise=7.298004655&amp;twist=-78.47085445&amp;csym=1&amp;rise2=7.3&amp;twist2=78.48&amp;csym2=1", "Link")</f>
        <v/>
      </c>
    </row>
    <row r="1434">
      <c r="A1434" t="inlineStr">
        <is>
          <t>EMD-1663</t>
        </is>
      </c>
      <c r="B1434" t="inlineStr">
        <is>
          <t>non-amyloid</t>
        </is>
      </c>
      <c r="C1434" t="n">
        <v>10.6</v>
      </c>
      <c r="D1434" t="inlineStr"/>
      <c r="E1434" t="inlineStr"/>
      <c r="F1434" t="inlineStr">
        <is>
          <t>C1</t>
        </is>
      </c>
      <c r="G1434" t="inlineStr"/>
      <c r="H1434" t="inlineStr"/>
      <c r="I1434" t="inlineStr">
        <is>
          <t>C1</t>
        </is>
      </c>
      <c r="J1434" t="inlineStr"/>
      <c r="K1434" t="inlineStr"/>
      <c r="L1434" t="inlineStr"/>
      <c r="M1434" t="inlineStr"/>
      <c r="N1434" t="inlineStr">
        <is>
          <t>No</t>
        </is>
      </c>
      <c r="O1434" t="inlineStr"/>
      <c r="P1434" t="inlineStr">
        <is>
          <t>single unit</t>
        </is>
      </c>
      <c r="Q1434" t="inlineStr"/>
      <c r="R1434" t="inlineStr"/>
      <c r="S1434">
        <f>HYPERLINK("https://helical-indexing-hi3d.streamlit.app/?emd_id=emd-1663&amp;rise=nan&amp;twist=nan&amp;csym=1&amp;rise2=nan&amp;twist2=nan&amp;csym2=1", "Link")</f>
        <v/>
      </c>
    </row>
    <row r="1435">
      <c r="A1435" t="inlineStr">
        <is>
          <t>EMD-5565</t>
        </is>
      </c>
      <c r="B1435" t="inlineStr">
        <is>
          <t>microtubule</t>
        </is>
      </c>
      <c r="C1435" t="n">
        <v>10.8</v>
      </c>
      <c r="D1435" t="n">
        <v>5.55267</v>
      </c>
      <c r="E1435" t="n">
        <v>168.08743</v>
      </c>
      <c r="F1435" t="inlineStr"/>
      <c r="G1435" t="inlineStr">
        <is>
          <t>5.55267</t>
        </is>
      </c>
      <c r="H1435" t="n">
        <v>168.08743</v>
      </c>
      <c r="I1435" t="inlineStr">
        <is>
          <t>Cnan</t>
        </is>
      </c>
      <c r="J1435" t="n">
        <v>0</v>
      </c>
      <c r="K1435" t="inlineStr"/>
      <c r="L1435" t="n">
        <v>0.9997200000000001</v>
      </c>
      <c r="M1435" t="n">
        <v>0.9997200000000001</v>
      </c>
      <c r="N1435" t="inlineStr">
        <is>
          <t>Yes</t>
        </is>
      </c>
      <c r="O1435" t="inlineStr">
        <is>
          <t>equal</t>
        </is>
      </c>
      <c r="P1435" t="inlineStr">
        <is>
          <t>deposited</t>
        </is>
      </c>
      <c r="Q1435" t="inlineStr"/>
      <c r="R1435" t="inlineStr"/>
      <c r="S1435" t="inlineStr"/>
    </row>
    <row r="1436">
      <c r="A1436" t="inlineStr">
        <is>
          <t>EMD-5763</t>
        </is>
      </c>
      <c r="B1436" t="inlineStr">
        <is>
          <t>non-amyloid</t>
        </is>
      </c>
      <c r="C1436" t="n">
        <v>10.8</v>
      </c>
      <c r="D1436" t="n">
        <v>22.04811</v>
      </c>
      <c r="E1436" t="n">
        <v>168.1585</v>
      </c>
      <c r="F1436" t="inlineStr"/>
      <c r="G1436" t="inlineStr">
        <is>
          <t>21.9753384</t>
        </is>
      </c>
      <c r="H1436" t="n">
        <v>-168.1641762</v>
      </c>
      <c r="I1436" t="inlineStr">
        <is>
          <t>Cnan</t>
        </is>
      </c>
      <c r="J1436" t="n">
        <v>16.6983313671542</v>
      </c>
      <c r="K1436" t="inlineStr">
        <is>
          <t> </t>
        </is>
      </c>
      <c r="L1436" t="n">
        <v>0.15235</v>
      </c>
      <c r="M1436" t="n">
        <v>0.976226035</v>
      </c>
      <c r="N1436" t="inlineStr">
        <is>
          <t>Yes</t>
        </is>
      </c>
      <c r="O1436" t="inlineStr">
        <is>
          <t>improve</t>
        </is>
      </c>
      <c r="P1436" t="inlineStr">
        <is>
          <t>twist sign</t>
        </is>
      </c>
      <c r="Q1436" t="inlineStr"/>
      <c r="R1436" t="inlineStr"/>
      <c r="S1436" t="inlineStr"/>
    </row>
    <row r="1437">
      <c r="A1437" t="inlineStr">
        <is>
          <t>EMD-5493</t>
        </is>
      </c>
      <c r="B1437" t="inlineStr">
        <is>
          <t>microtubule</t>
        </is>
      </c>
      <c r="C1437" t="n">
        <v>10.8</v>
      </c>
      <c r="D1437" t="n">
        <v>8.90136</v>
      </c>
      <c r="E1437" t="n">
        <v>25.75775</v>
      </c>
      <c r="F1437" t="inlineStr"/>
      <c r="G1437" t="inlineStr"/>
      <c r="H1437" t="inlineStr"/>
      <c r="I1437" t="inlineStr">
        <is>
          <t>C1</t>
        </is>
      </c>
      <c r="J1437" t="inlineStr"/>
      <c r="K1437" t="inlineStr"/>
      <c r="L1437" t="inlineStr"/>
      <c r="M1437" t="inlineStr"/>
      <c r="N1437" t="inlineStr">
        <is>
          <t>No</t>
        </is>
      </c>
      <c r="O1437" t="inlineStr"/>
      <c r="P1437" t="inlineStr">
        <is>
          <t>single unit</t>
        </is>
      </c>
      <c r="Q1437" t="inlineStr"/>
      <c r="R1437" t="inlineStr"/>
      <c r="S1437" t="inlineStr"/>
    </row>
    <row r="1438">
      <c r="A1438" t="inlineStr">
        <is>
          <t>EMD-0739</t>
        </is>
      </c>
      <c r="B1438" t="inlineStr">
        <is>
          <t>non-amyloid</t>
        </is>
      </c>
      <c r="C1438" t="n">
        <v>10.9</v>
      </c>
      <c r="D1438" t="n">
        <v>6.394</v>
      </c>
      <c r="E1438" t="n">
        <v>109.014</v>
      </c>
      <c r="F1438" t="inlineStr">
        <is>
          <t>C1</t>
        </is>
      </c>
      <c r="G1438" t="inlineStr">
        <is>
          <t>6.394</t>
        </is>
      </c>
      <c r="H1438" t="n">
        <v>109.014</v>
      </c>
      <c r="I1438" t="inlineStr">
        <is>
          <t>C1</t>
        </is>
      </c>
      <c r="J1438" t="n">
        <v>0</v>
      </c>
      <c r="K1438" t="inlineStr"/>
      <c r="L1438" t="n">
        <v>0.94539</v>
      </c>
      <c r="M1438" t="n">
        <v>0.94539</v>
      </c>
      <c r="N1438" t="inlineStr">
        <is>
          <t>Yes</t>
        </is>
      </c>
      <c r="O1438" t="inlineStr">
        <is>
          <t>equal</t>
        </is>
      </c>
      <c r="P1438" t="inlineStr">
        <is>
          <t>deposited</t>
        </is>
      </c>
      <c r="Q1438" t="inlineStr"/>
      <c r="R1438" t="inlineStr"/>
      <c r="S1438">
        <f>HYPERLINK("https://helical-indexing-hi3d.streamlit.app/?emd_id=emd-0739&amp;rise=6.394&amp;twist=109.014&amp;csym=1&amp;rise2=6.394&amp;twist2=109.014&amp;csym2=1", "Link")</f>
        <v/>
      </c>
    </row>
    <row r="1439">
      <c r="A1439" t="inlineStr">
        <is>
          <t>EMD-0736</t>
        </is>
      </c>
      <c r="B1439" t="inlineStr">
        <is>
          <t>non-amyloid</t>
        </is>
      </c>
      <c r="C1439" t="n">
        <v>10.9</v>
      </c>
      <c r="D1439" t="n">
        <v>7.217</v>
      </c>
      <c r="E1439" t="n">
        <v>-38.899</v>
      </c>
      <c r="F1439" t="inlineStr">
        <is>
          <t>C1</t>
        </is>
      </c>
      <c r="G1439" t="inlineStr">
        <is>
          <t>7.217</t>
        </is>
      </c>
      <c r="H1439" t="n">
        <v>-38.899</v>
      </c>
      <c r="I1439" t="inlineStr">
        <is>
          <t>C1</t>
        </is>
      </c>
      <c r="J1439" t="n">
        <v>0</v>
      </c>
      <c r="K1439" t="inlineStr"/>
      <c r="L1439" t="n">
        <v>0.93405</v>
      </c>
      <c r="M1439" t="n">
        <v>0.93405</v>
      </c>
      <c r="N1439" t="inlineStr">
        <is>
          <t>Yes</t>
        </is>
      </c>
      <c r="O1439" t="inlineStr">
        <is>
          <t>equal</t>
        </is>
      </c>
      <c r="P1439" t="inlineStr">
        <is>
          <t>deposited</t>
        </is>
      </c>
      <c r="Q1439" t="inlineStr"/>
      <c r="R1439" t="inlineStr"/>
      <c r="S1439">
        <f>HYPERLINK("https://helical-indexing-hi3d.streamlit.app/?emd_id=emd-0736&amp;rise=7.217&amp;twist=-38.899&amp;csym=1&amp;rise2=7.217&amp;twist2=-38.899&amp;csym2=1", "Link")</f>
        <v/>
      </c>
    </row>
    <row r="1440">
      <c r="A1440" t="inlineStr">
        <is>
          <t>EMD-3194</t>
        </is>
      </c>
      <c r="B1440" t="inlineStr">
        <is>
          <t>non-amyloid</t>
        </is>
      </c>
      <c r="C1440" t="n">
        <v>10.9</v>
      </c>
      <c r="D1440" t="n">
        <v>3.84</v>
      </c>
      <c r="E1440" t="n">
        <v>56.01</v>
      </c>
      <c r="F1440" t="inlineStr">
        <is>
          <t>C1</t>
        </is>
      </c>
      <c r="G1440" t="inlineStr">
        <is>
          <t>3.84</t>
        </is>
      </c>
      <c r="H1440" t="n">
        <v>56.01</v>
      </c>
      <c r="I1440" t="inlineStr">
        <is>
          <t>C1</t>
        </is>
      </c>
      <c r="J1440" t="n">
        <v>0</v>
      </c>
      <c r="K1440" t="inlineStr"/>
      <c r="L1440" t="n">
        <v>0.94208</v>
      </c>
      <c r="M1440" t="n">
        <v>0.94208</v>
      </c>
      <c r="N1440" t="inlineStr">
        <is>
          <t>Yes</t>
        </is>
      </c>
      <c r="O1440" t="inlineStr">
        <is>
          <t>equal</t>
        </is>
      </c>
      <c r="P1440" t="inlineStr">
        <is>
          <t>deposited</t>
        </is>
      </c>
      <c r="Q1440" t="inlineStr"/>
      <c r="R1440" t="inlineStr"/>
      <c r="S1440">
        <f>HYPERLINK("https://helical-indexing-hi3d.streamlit.app/?emd_id=emd-3194&amp;rise=3.84&amp;twist=56.01&amp;csym=1&amp;rise2=3.84&amp;twist2=56.01&amp;csym2=1", "Link")</f>
        <v/>
      </c>
    </row>
    <row r="1441">
      <c r="A1441" t="inlineStr">
        <is>
          <t>EMD-3195</t>
        </is>
      </c>
      <c r="B1441" t="inlineStr">
        <is>
          <t>non-amyloid</t>
        </is>
      </c>
      <c r="C1441" t="n">
        <v>10.9</v>
      </c>
      <c r="D1441" t="n">
        <v>3.82</v>
      </c>
      <c r="E1441" t="n">
        <v>55.93</v>
      </c>
      <c r="F1441" t="inlineStr">
        <is>
          <t>C1</t>
        </is>
      </c>
      <c r="G1441" t="inlineStr">
        <is>
          <t>3.821188705</t>
        </is>
      </c>
      <c r="H1441" t="n">
        <v>-55.92675443</v>
      </c>
      <c r="I1441" t="inlineStr">
        <is>
          <t>C1</t>
        </is>
      </c>
      <c r="J1441" t="n">
        <v>33.82018097232898</v>
      </c>
      <c r="K1441" t="inlineStr">
        <is>
          <t> </t>
        </is>
      </c>
      <c r="L1441" t="n">
        <v>0.65554</v>
      </c>
      <c r="M1441" t="n">
        <v>0.996864331</v>
      </c>
      <c r="N1441" t="inlineStr">
        <is>
          <t>Yes</t>
        </is>
      </c>
      <c r="O1441" t="inlineStr">
        <is>
          <t>improve</t>
        </is>
      </c>
      <c r="P1441" t="inlineStr">
        <is>
          <t>twist sign</t>
        </is>
      </c>
      <c r="Q1441" t="inlineStr"/>
      <c r="R1441" t="inlineStr"/>
      <c r="S1441">
        <f>HYPERLINK("https://helical-indexing-hi3d.streamlit.app/?emd_id=emd-3195&amp;rise=3.821188705&amp;twist=-55.92675443&amp;csym=1&amp;rise2=3.82&amp;twist2=55.93&amp;csym2=1", "Link")</f>
        <v/>
      </c>
    </row>
    <row r="1442">
      <c r="A1442" t="inlineStr">
        <is>
          <t>EMD-2936</t>
        </is>
      </c>
      <c r="B1442" t="inlineStr">
        <is>
          <t>non-amyloid</t>
        </is>
      </c>
      <c r="C1442" t="n">
        <v>10.9</v>
      </c>
      <c r="D1442" t="n">
        <v>12.99</v>
      </c>
      <c r="E1442" t="n">
        <v>30.77</v>
      </c>
      <c r="F1442" t="inlineStr">
        <is>
          <t>C1</t>
        </is>
      </c>
      <c r="G1442" t="inlineStr">
        <is>
          <t>12.94751862</t>
        </is>
      </c>
      <c r="H1442" t="n">
        <v>-30.68865626</v>
      </c>
      <c r="I1442" t="inlineStr">
        <is>
          <t>C1</t>
        </is>
      </c>
      <c r="J1442" t="n">
        <v>6.154242544239349</v>
      </c>
      <c r="K1442" t="inlineStr">
        <is>
          <t> </t>
        </is>
      </c>
      <c r="L1442" t="n">
        <v>0.49941</v>
      </c>
      <c r="M1442" t="n">
        <v>0.993563787</v>
      </c>
      <c r="N1442" t="inlineStr">
        <is>
          <t>Yes</t>
        </is>
      </c>
      <c r="O1442" t="inlineStr">
        <is>
          <t>improve</t>
        </is>
      </c>
      <c r="P1442" t="inlineStr">
        <is>
          <t>twist sign</t>
        </is>
      </c>
      <c r="Q1442" t="inlineStr"/>
      <c r="R1442" t="inlineStr"/>
      <c r="S1442">
        <f>HYPERLINK("https://helical-indexing-hi3d.streamlit.app/?emd_id=emd-2936&amp;rise=12.94751862&amp;twist=-30.68865626&amp;csym=1&amp;rise2=12.99&amp;twist2=30.77&amp;csym2=1", "Link")</f>
        <v/>
      </c>
    </row>
    <row r="1443">
      <c r="A1443" t="inlineStr">
        <is>
          <t>EMD-0175</t>
        </is>
      </c>
      <c r="B1443" t="inlineStr">
        <is>
          <t>non-amyloid</t>
        </is>
      </c>
      <c r="C1443" t="n">
        <v>11</v>
      </c>
      <c r="D1443" t="n">
        <v>33.63</v>
      </c>
      <c r="E1443" t="n">
        <v>-65.39</v>
      </c>
      <c r="F1443" t="inlineStr">
        <is>
          <t>D1</t>
        </is>
      </c>
      <c r="G1443" t="inlineStr">
        <is>
          <t>33.63</t>
        </is>
      </c>
      <c r="H1443" t="n">
        <v>-65.39</v>
      </c>
      <c r="I1443" t="inlineStr">
        <is>
          <t>CD1</t>
        </is>
      </c>
      <c r="J1443" t="n">
        <v>0</v>
      </c>
      <c r="K1443" t="inlineStr"/>
      <c r="L1443" t="n">
        <v>0.9987200000000001</v>
      </c>
      <c r="M1443" t="n">
        <v>0.9987200000000001</v>
      </c>
      <c r="N1443" t="inlineStr">
        <is>
          <t>Yes</t>
        </is>
      </c>
      <c r="O1443" t="inlineStr">
        <is>
          <t>equal</t>
        </is>
      </c>
      <c r="P1443" t="inlineStr">
        <is>
          <t>deposited</t>
        </is>
      </c>
      <c r="Q1443" t="inlineStr"/>
      <c r="R1443" t="inlineStr"/>
      <c r="S1443">
        <f>HYPERLINK("https://helical-indexing-hi3d.streamlit.app/?emd_id=emd-0175&amp;rise=33.63&amp;twist=-65.39&amp;csym=D1&amp;rise2=33.63&amp;twist2=-65.39&amp;csym2=1", "Link")</f>
        <v/>
      </c>
    </row>
    <row r="1444">
      <c r="A1444" t="inlineStr">
        <is>
          <t>EMD-5038</t>
        </is>
      </c>
      <c r="B1444" t="inlineStr">
        <is>
          <t>microtubule</t>
        </is>
      </c>
      <c r="C1444" t="n">
        <v>11</v>
      </c>
      <c r="D1444" t="inlineStr"/>
      <c r="E1444" t="inlineStr"/>
      <c r="F1444" t="inlineStr"/>
      <c r="G1444" t="inlineStr">
        <is>
          <t>9.212643153</t>
        </is>
      </c>
      <c r="H1444" t="n">
        <v>-27.69204856</v>
      </c>
      <c r="I1444" t="inlineStr">
        <is>
          <t>Cnan</t>
        </is>
      </c>
      <c r="J1444" t="inlineStr"/>
      <c r="K1444" t="inlineStr">
        <is>
          <t> </t>
        </is>
      </c>
      <c r="L1444" t="inlineStr"/>
      <c r="M1444" t="n">
        <v>0.907081871</v>
      </c>
      <c r="N1444" t="inlineStr">
        <is>
          <t>Yes</t>
        </is>
      </c>
      <c r="O1444" t="inlineStr">
        <is>
          <t>improve</t>
        </is>
      </c>
      <c r="P1444" t="inlineStr">
        <is>
          <t>no EMDB values</t>
        </is>
      </c>
      <c r="Q1444" t="inlineStr"/>
      <c r="R1444" t="inlineStr"/>
      <c r="S1444" t="inlineStr"/>
    </row>
    <row r="1445">
      <c r="A1445" t="inlineStr">
        <is>
          <t>EMD-2848</t>
        </is>
      </c>
      <c r="B1445" t="inlineStr">
        <is>
          <t>non-amyloid</t>
        </is>
      </c>
      <c r="C1445" t="n">
        <v>11</v>
      </c>
      <c r="D1445" t="n">
        <v>23.4</v>
      </c>
      <c r="E1445" t="n">
        <v>165.1</v>
      </c>
      <c r="F1445" t="inlineStr">
        <is>
          <t>C1</t>
        </is>
      </c>
      <c r="G1445" t="inlineStr">
        <is>
          <t>23.38427932</t>
        </is>
      </c>
      <c r="H1445" t="n">
        <v>165.0712797</v>
      </c>
      <c r="I1445" t="inlineStr">
        <is>
          <t>C1</t>
        </is>
      </c>
      <c r="J1445" t="n">
        <v>0.015916043</v>
      </c>
      <c r="K1445" t="inlineStr"/>
      <c r="L1445" t="n">
        <v>0.99131</v>
      </c>
      <c r="M1445" t="n">
        <v>0.991342811</v>
      </c>
      <c r="N1445" t="inlineStr">
        <is>
          <t>Yes</t>
        </is>
      </c>
      <c r="O1445" t="inlineStr">
        <is>
          <t>improve</t>
        </is>
      </c>
      <c r="P1445" t="inlineStr">
        <is>
          <t>adjusted decimals</t>
        </is>
      </c>
      <c r="Q1445" t="inlineStr"/>
      <c r="R1445" t="inlineStr"/>
      <c r="S1445">
        <f>HYPERLINK("https://helical-indexing-hi3d.streamlit.app/?emd_id=emd-2848&amp;rise=23.38427932&amp;twist=165.0712797&amp;csym=1&amp;rise2=23.4&amp;twist2=165.1&amp;csym2=1", "Link")</f>
        <v/>
      </c>
    </row>
    <row r="1446">
      <c r="A1446" t="inlineStr">
        <is>
          <t>EMD-7781</t>
        </is>
      </c>
      <c r="B1446" t="inlineStr">
        <is>
          <t>non-amyloid</t>
        </is>
      </c>
      <c r="C1446" t="n">
        <v>11</v>
      </c>
      <c r="D1446" t="n">
        <v>27.5</v>
      </c>
      <c r="E1446" t="n">
        <v>-166.6</v>
      </c>
      <c r="F1446" t="inlineStr">
        <is>
          <t>C1</t>
        </is>
      </c>
      <c r="G1446" t="inlineStr">
        <is>
          <t>27.5</t>
        </is>
      </c>
      <c r="H1446" t="n">
        <v>-166.6</v>
      </c>
      <c r="I1446" t="inlineStr">
        <is>
          <t>C1</t>
        </is>
      </c>
      <c r="J1446" t="n">
        <v>0</v>
      </c>
      <c r="K1446" t="inlineStr"/>
      <c r="L1446" t="n">
        <v>0.99491</v>
      </c>
      <c r="M1446" t="n">
        <v>0.99491</v>
      </c>
      <c r="N1446" t="inlineStr">
        <is>
          <t>Yes</t>
        </is>
      </c>
      <c r="O1446" t="inlineStr">
        <is>
          <t>equal</t>
        </is>
      </c>
      <c r="P1446" t="inlineStr">
        <is>
          <t>deposited</t>
        </is>
      </c>
      <c r="Q1446" t="inlineStr"/>
      <c r="R1446" t="inlineStr"/>
      <c r="S1446">
        <f>HYPERLINK("https://helical-indexing-hi3d.streamlit.app/?emd_id=emd-7781&amp;rise=27.5&amp;twist=-166.6&amp;csym=1&amp;rise2=27.5&amp;twist2=-166.6&amp;csym2=1", "Link")</f>
        <v/>
      </c>
    </row>
    <row r="1447">
      <c r="A1447" t="inlineStr">
        <is>
          <t>EMD-7780</t>
        </is>
      </c>
      <c r="B1447" t="inlineStr">
        <is>
          <t>non-amyloid</t>
        </is>
      </c>
      <c r="C1447" t="n">
        <v>11</v>
      </c>
      <c r="D1447" t="n">
        <v>27.5</v>
      </c>
      <c r="E1447" t="n">
        <v>-166.6</v>
      </c>
      <c r="F1447" t="inlineStr">
        <is>
          <t>C1</t>
        </is>
      </c>
      <c r="G1447" t="inlineStr">
        <is>
          <t>27.6937245</t>
        </is>
      </c>
      <c r="H1447" t="n">
        <v>-166.3295856</v>
      </c>
      <c r="I1447" t="inlineStr">
        <is>
          <t>C1</t>
        </is>
      </c>
      <c r="J1447" t="n">
        <v>0.2049703135524576</v>
      </c>
      <c r="K1447" t="inlineStr"/>
      <c r="L1447" t="n">
        <v>0.96792</v>
      </c>
      <c r="M1447" t="n">
        <v>0.969412427</v>
      </c>
      <c r="N1447" t="inlineStr">
        <is>
          <t>Yes</t>
        </is>
      </c>
      <c r="O1447" t="inlineStr">
        <is>
          <t>improve</t>
        </is>
      </c>
      <c r="P1447" t="inlineStr">
        <is>
          <t>adjusted decimals</t>
        </is>
      </c>
      <c r="Q1447" t="inlineStr"/>
      <c r="R1447" t="inlineStr"/>
      <c r="S1447">
        <f>HYPERLINK("https://helical-indexing-hi3d.streamlit.app/?emd_id=emd-7780&amp;rise=27.6937245&amp;twist=-166.3295856&amp;csym=1&amp;rise2=27.5&amp;twist2=-166.6&amp;csym2=1", "Link")</f>
        <v/>
      </c>
    </row>
    <row r="1448">
      <c r="A1448" t="inlineStr">
        <is>
          <t>EMD-7874</t>
        </is>
      </c>
      <c r="B1448" t="inlineStr">
        <is>
          <t>non-amyloid</t>
        </is>
      </c>
      <c r="C1448" t="n">
        <v>11</v>
      </c>
      <c r="D1448" t="n">
        <v>10.48</v>
      </c>
      <c r="E1448" t="n">
        <v>24.07</v>
      </c>
      <c r="F1448" t="inlineStr">
        <is>
          <t>C1</t>
        </is>
      </c>
      <c r="G1448" t="inlineStr">
        <is>
          <t>10.48</t>
        </is>
      </c>
      <c r="H1448" t="n">
        <v>24.07</v>
      </c>
      <c r="I1448" t="inlineStr">
        <is>
          <t>C1</t>
        </is>
      </c>
      <c r="J1448" t="n">
        <v>0</v>
      </c>
      <c r="K1448" t="inlineStr"/>
      <c r="L1448" t="n">
        <v>0.918342853</v>
      </c>
      <c r="M1448" t="n">
        <v>0.918342853</v>
      </c>
      <c r="N1448" t="inlineStr">
        <is>
          <t>Yes</t>
        </is>
      </c>
      <c r="O1448" t="inlineStr">
        <is>
          <t>equal</t>
        </is>
      </c>
      <c r="P1448" t="inlineStr">
        <is>
          <t>deposited</t>
        </is>
      </c>
      <c r="Q1448" t="inlineStr"/>
      <c r="R1448" t="inlineStr"/>
      <c r="S1448">
        <f>HYPERLINK("https://helical-indexing-hi3d.streamlit.app/?emd_id=emd-7874&amp;rise=10.48&amp;twist=24.07&amp;csym=1&amp;rise2=10.48&amp;twist2=24.07&amp;csym2=1", "Link")</f>
        <v/>
      </c>
    </row>
    <row r="1449">
      <c r="A1449" t="inlineStr">
        <is>
          <t>EMD-5365</t>
        </is>
      </c>
      <c r="B1449" t="inlineStr">
        <is>
          <t>non-amyloid</t>
        </is>
      </c>
      <c r="C1449" t="n">
        <v>11</v>
      </c>
      <c r="D1449" t="n">
        <v>20.08</v>
      </c>
      <c r="E1449" t="n">
        <v>67.55</v>
      </c>
      <c r="F1449" t="inlineStr">
        <is>
          <t>C2</t>
        </is>
      </c>
      <c r="G1449" t="inlineStr">
        <is>
          <t>20.08</t>
        </is>
      </c>
      <c r="H1449" t="n">
        <v>67.55</v>
      </c>
      <c r="I1449" t="inlineStr">
        <is>
          <t>C2</t>
        </is>
      </c>
      <c r="J1449" t="n">
        <v>0</v>
      </c>
      <c r="K1449" t="inlineStr"/>
      <c r="L1449" t="n">
        <v>0.99654</v>
      </c>
      <c r="M1449" t="n">
        <v>0.99654</v>
      </c>
      <c r="N1449" t="inlineStr">
        <is>
          <t>Yes</t>
        </is>
      </c>
      <c r="O1449" t="inlineStr">
        <is>
          <t>equal</t>
        </is>
      </c>
      <c r="P1449" t="inlineStr">
        <is>
          <t>deposited</t>
        </is>
      </c>
      <c r="Q1449" t="inlineStr"/>
      <c r="R1449" t="inlineStr"/>
      <c r="S1449">
        <f>HYPERLINK("https://helical-indexing-hi3d.streamlit.app/?emd_id=emd-5365&amp;rise=20.08&amp;twist=67.55&amp;csym=2&amp;rise2=20.08&amp;twist2=67.55&amp;csym2=2", "Link")</f>
        <v/>
      </c>
    </row>
    <row r="1450">
      <c r="A1450" t="inlineStr">
        <is>
          <t>EMD-3665</t>
        </is>
      </c>
      <c r="B1450" t="inlineStr">
        <is>
          <t>non-amyloid</t>
        </is>
      </c>
      <c r="C1450" t="n">
        <v>11</v>
      </c>
      <c r="D1450" t="n">
        <v>27.7</v>
      </c>
      <c r="E1450" t="n">
        <v>166.8</v>
      </c>
      <c r="F1450" t="inlineStr">
        <is>
          <t>C1</t>
        </is>
      </c>
      <c r="G1450" t="inlineStr">
        <is>
          <t>27.66610966</t>
        </is>
      </c>
      <c r="H1450" t="n">
        <v>-166.3180826</v>
      </c>
      <c r="I1450" t="inlineStr">
        <is>
          <t>C1</t>
        </is>
      </c>
      <c r="J1450" t="n">
        <v>4.036400180061245</v>
      </c>
      <c r="K1450" t="inlineStr">
        <is>
          <t> </t>
        </is>
      </c>
      <c r="L1450" t="n">
        <v>0.5908099999999999</v>
      </c>
      <c r="M1450" t="n">
        <v>0.978651677</v>
      </c>
      <c r="N1450" t="inlineStr">
        <is>
          <t>Yes</t>
        </is>
      </c>
      <c r="O1450" t="inlineStr">
        <is>
          <t>improve</t>
        </is>
      </c>
      <c r="P1450" t="inlineStr">
        <is>
          <t>twist sign</t>
        </is>
      </c>
      <c r="Q1450" t="inlineStr"/>
      <c r="R1450" t="inlineStr"/>
      <c r="S1450">
        <f>HYPERLINK("https://helical-indexing-hi3d.streamlit.app/?emd_id=emd-3665&amp;rise=27.66610966&amp;twist=-166.3180826&amp;csym=1&amp;rise2=27.7&amp;twist2=166.8&amp;csym2=1", "Link")</f>
        <v/>
      </c>
    </row>
    <row r="1451">
      <c r="A1451" t="inlineStr">
        <is>
          <t>EMD-3666</t>
        </is>
      </c>
      <c r="B1451" t="inlineStr">
        <is>
          <t>non-amyloid</t>
        </is>
      </c>
      <c r="C1451" t="n">
        <v>11</v>
      </c>
      <c r="D1451" t="n">
        <v>27.4</v>
      </c>
      <c r="E1451" t="n">
        <v>-166.7</v>
      </c>
      <c r="F1451" t="inlineStr">
        <is>
          <t>C1</t>
        </is>
      </c>
      <c r="G1451" t="inlineStr">
        <is>
          <t>27.4</t>
        </is>
      </c>
      <c r="H1451" t="n">
        <v>-166.7</v>
      </c>
      <c r="I1451" t="inlineStr">
        <is>
          <t>C1</t>
        </is>
      </c>
      <c r="J1451" t="n">
        <v>0</v>
      </c>
      <c r="K1451" t="inlineStr"/>
      <c r="L1451" t="n">
        <v>0.99932</v>
      </c>
      <c r="M1451" t="n">
        <v>0.99932</v>
      </c>
      <c r="N1451" t="inlineStr">
        <is>
          <t>Yes</t>
        </is>
      </c>
      <c r="O1451" t="inlineStr">
        <is>
          <t>equal</t>
        </is>
      </c>
      <c r="P1451" t="inlineStr">
        <is>
          <t>deposited</t>
        </is>
      </c>
      <c r="Q1451" t="inlineStr"/>
      <c r="R1451" t="inlineStr"/>
      <c r="S1451">
        <f>HYPERLINK("https://helical-indexing-hi3d.streamlit.app/?emd_id=emd-3666&amp;rise=27.4&amp;twist=-166.7&amp;csym=1&amp;rise2=27.4&amp;twist2=-166.7&amp;csym2=1", "Link")</f>
        <v/>
      </c>
    </row>
    <row r="1452">
      <c r="A1452" t="inlineStr">
        <is>
          <t>EMD-1747</t>
        </is>
      </c>
      <c r="B1452" t="inlineStr">
        <is>
          <t>non-amyloid</t>
        </is>
      </c>
      <c r="C1452" t="n">
        <v>11</v>
      </c>
      <c r="D1452" t="n">
        <v>31.5</v>
      </c>
      <c r="E1452" t="n">
        <v>32.3</v>
      </c>
      <c r="F1452" t="inlineStr">
        <is>
          <t>C3</t>
        </is>
      </c>
      <c r="G1452" t="inlineStr">
        <is>
          <t>31.5</t>
        </is>
      </c>
      <c r="H1452" t="n">
        <v>32.3</v>
      </c>
      <c r="I1452" t="inlineStr">
        <is>
          <t>C3</t>
        </is>
      </c>
      <c r="J1452" t="n">
        <v>0</v>
      </c>
      <c r="K1452" t="inlineStr"/>
      <c r="L1452" t="n">
        <v>0.997505141</v>
      </c>
      <c r="M1452" t="n">
        <v>0.997505141</v>
      </c>
      <c r="N1452" t="inlineStr">
        <is>
          <t>Yes</t>
        </is>
      </c>
      <c r="O1452" t="inlineStr">
        <is>
          <t>equal</t>
        </is>
      </c>
      <c r="P1452" t="inlineStr">
        <is>
          <t>deposited</t>
        </is>
      </c>
      <c r="Q1452" t="inlineStr"/>
      <c r="R1452" t="inlineStr"/>
      <c r="S1452">
        <f>HYPERLINK("https://helical-indexing-hi3d.streamlit.app/?emd_id=emd-1747&amp;rise=31.5&amp;twist=32.3&amp;csym=3&amp;rise2=31.5&amp;twist2=32.3&amp;csym2=3", "Link")</f>
        <v/>
      </c>
    </row>
    <row r="1453">
      <c r="A1453" t="inlineStr">
        <is>
          <t>EMD-19461</t>
        </is>
      </c>
      <c r="B1453" t="inlineStr">
        <is>
          <t>non-amyloid</t>
        </is>
      </c>
      <c r="C1453" t="n">
        <v>11.16</v>
      </c>
      <c r="D1453" t="n">
        <v>40</v>
      </c>
      <c r="E1453" t="n">
        <v>-7.2</v>
      </c>
      <c r="F1453" t="inlineStr">
        <is>
          <t>C1</t>
        </is>
      </c>
      <c r="G1453" t="inlineStr">
        <is>
          <t>40</t>
        </is>
      </c>
      <c r="H1453" t="n">
        <v>-7.2</v>
      </c>
      <c r="I1453" t="inlineStr">
        <is>
          <t>C1</t>
        </is>
      </c>
      <c r="J1453" t="n">
        <v>0</v>
      </c>
      <c r="K1453" t="inlineStr">
        <is>
          <t> </t>
        </is>
      </c>
      <c r="L1453" t="n">
        <v>0.75736</v>
      </c>
      <c r="M1453" t="n">
        <v>0.75736</v>
      </c>
      <c r="N1453" t="inlineStr">
        <is>
          <t>Yes</t>
        </is>
      </c>
      <c r="O1453" t="inlineStr">
        <is>
          <t>equal</t>
        </is>
      </c>
      <c r="P1453" t="inlineStr">
        <is>
          <t>deposited</t>
        </is>
      </c>
      <c r="Q1453" t="inlineStr"/>
      <c r="R1453" t="inlineStr"/>
      <c r="S1453">
        <f>HYPERLINK("https://helical-indexing-hi3d.streamlit.app/?emd_id=emd-19461&amp;rise=40&amp;twist=-7.2&amp;csym=1&amp;rise2=40.0&amp;twist2=-7.2&amp;csym2=1", "Link")</f>
        <v/>
      </c>
    </row>
    <row r="1454">
      <c r="A1454" t="inlineStr">
        <is>
          <t>EMD-3193</t>
        </is>
      </c>
      <c r="B1454" t="inlineStr">
        <is>
          <t>non-amyloid</t>
        </is>
      </c>
      <c r="C1454" t="n">
        <v>11.2</v>
      </c>
      <c r="D1454" t="n">
        <v>3.83</v>
      </c>
      <c r="E1454" t="n">
        <v>55.96</v>
      </c>
      <c r="F1454" t="inlineStr">
        <is>
          <t>C1</t>
        </is>
      </c>
      <c r="G1454" t="inlineStr">
        <is>
          <t>3.83</t>
        </is>
      </c>
      <c r="H1454" t="n">
        <v>55.96</v>
      </c>
      <c r="I1454" t="inlineStr">
        <is>
          <t>C1</t>
        </is>
      </c>
      <c r="J1454" t="n">
        <v>0</v>
      </c>
      <c r="K1454" t="inlineStr"/>
      <c r="L1454" t="n">
        <v>0.95331</v>
      </c>
      <c r="M1454" t="n">
        <v>0.95331</v>
      </c>
      <c r="N1454" t="inlineStr">
        <is>
          <t>Yes</t>
        </is>
      </c>
      <c r="O1454" t="inlineStr">
        <is>
          <t>equal</t>
        </is>
      </c>
      <c r="P1454" t="inlineStr">
        <is>
          <t>deposited</t>
        </is>
      </c>
      <c r="Q1454" t="inlineStr"/>
      <c r="R1454" t="inlineStr"/>
      <c r="S1454">
        <f>HYPERLINK("https://helical-indexing-hi3d.streamlit.app/?emd_id=emd-3193&amp;rise=3.83&amp;twist=55.96&amp;csym=1&amp;rise2=3.83&amp;twist2=55.96&amp;csym2=1", "Link")</f>
        <v/>
      </c>
    </row>
    <row r="1455">
      <c r="A1455" t="inlineStr">
        <is>
          <t>EMD-10137</t>
        </is>
      </c>
      <c r="B1455" t="inlineStr">
        <is>
          <t>non-amyloid</t>
        </is>
      </c>
      <c r="C1455" t="n">
        <v>11.3</v>
      </c>
      <c r="D1455" t="n">
        <v>10.6</v>
      </c>
      <c r="E1455" t="n">
        <v>6.7</v>
      </c>
      <c r="F1455" t="inlineStr">
        <is>
          <t>C1</t>
        </is>
      </c>
      <c r="G1455" t="inlineStr">
        <is>
          <t>10.46775475</t>
        </is>
      </c>
      <c r="H1455" t="n">
        <v>6.449062228</v>
      </c>
      <c r="I1455" t="inlineStr">
        <is>
          <t>C1</t>
        </is>
      </c>
      <c r="J1455" t="n">
        <v>0.1830117961511403</v>
      </c>
      <c r="K1455" t="inlineStr"/>
      <c r="L1455" t="n">
        <v>0.82988</v>
      </c>
      <c r="M1455" t="n">
        <v>0.843944233</v>
      </c>
      <c r="N1455" t="inlineStr">
        <is>
          <t>Yes</t>
        </is>
      </c>
      <c r="O1455" t="inlineStr">
        <is>
          <t>improve</t>
        </is>
      </c>
      <c r="P1455" t="inlineStr">
        <is>
          <t>adjusted decimals</t>
        </is>
      </c>
      <c r="Q1455" t="inlineStr"/>
      <c r="R1455" t="inlineStr"/>
      <c r="S1455">
        <f>HYPERLINK("https://helical-indexing-hi3d.streamlit.app/?emd_id=emd-10137&amp;rise=10.46775475&amp;twist=6.449062228&amp;csym=1&amp;rise2=10.6&amp;twist2=6.7&amp;csym2=1", "Link")</f>
        <v/>
      </c>
    </row>
    <row r="1456">
      <c r="A1456" t="inlineStr">
        <is>
          <t>EMD-6181</t>
        </is>
      </c>
      <c r="B1456" t="inlineStr">
        <is>
          <t>non-amyloid</t>
        </is>
      </c>
      <c r="C1456" t="n">
        <v>12</v>
      </c>
      <c r="D1456" t="n">
        <v>28.3</v>
      </c>
      <c r="E1456" t="n">
        <v>166.8</v>
      </c>
      <c r="F1456" t="inlineStr">
        <is>
          <t>C1</t>
        </is>
      </c>
      <c r="G1456" t="inlineStr">
        <is>
          <t>29.51669384</t>
        </is>
      </c>
      <c r="H1456" t="n">
        <v>-167.9437496</v>
      </c>
      <c r="I1456" t="inlineStr">
        <is>
          <t>C1</t>
        </is>
      </c>
      <c r="J1456" t="n">
        <v>3.558788334362394</v>
      </c>
      <c r="K1456" t="inlineStr">
        <is>
          <t> </t>
        </is>
      </c>
      <c r="L1456" t="n">
        <v>0.71552</v>
      </c>
      <c r="M1456" t="n">
        <v>0.99728934</v>
      </c>
      <c r="N1456" t="inlineStr">
        <is>
          <t>Yes</t>
        </is>
      </c>
      <c r="O1456" t="inlineStr">
        <is>
          <t>improve</t>
        </is>
      </c>
      <c r="P1456" t="inlineStr">
        <is>
          <t>twist sign</t>
        </is>
      </c>
      <c r="Q1456" t="inlineStr"/>
      <c r="R1456" t="inlineStr"/>
      <c r="S1456">
        <f>HYPERLINK("https://helical-indexing-hi3d.streamlit.app/?emd_id=emd-6181&amp;rise=29.51669384&amp;twist=-167.9437496&amp;csym=1&amp;rise2=28.3&amp;twist2=166.8&amp;csym2=1", "Link")</f>
        <v/>
      </c>
    </row>
    <row r="1457">
      <c r="A1457" t="inlineStr">
        <is>
          <t>EMD-2675</t>
        </is>
      </c>
      <c r="B1457" t="inlineStr">
        <is>
          <t>microtubule</t>
        </is>
      </c>
      <c r="C1457" t="n">
        <v>12</v>
      </c>
      <c r="D1457" t="n">
        <v>2.98</v>
      </c>
      <c r="E1457" t="n">
        <v>129</v>
      </c>
      <c r="F1457" t="inlineStr">
        <is>
          <t>C1</t>
        </is>
      </c>
      <c r="G1457" t="inlineStr"/>
      <c r="H1457" t="inlineStr"/>
      <c r="I1457" t="inlineStr">
        <is>
          <t>C1</t>
        </is>
      </c>
      <c r="J1457" t="inlineStr"/>
      <c r="K1457" t="inlineStr"/>
      <c r="L1457" t="inlineStr"/>
      <c r="M1457" t="inlineStr"/>
      <c r="N1457" t="inlineStr">
        <is>
          <t>No</t>
        </is>
      </c>
      <c r="O1457" t="inlineStr"/>
      <c r="P1457" t="inlineStr">
        <is>
          <t>single unit</t>
        </is>
      </c>
      <c r="Q1457" t="inlineStr"/>
      <c r="R1457" t="inlineStr"/>
      <c r="S1457">
        <f>HYPERLINK("https://helical-indexing-hi3d.streamlit.app/?emd_id=emd-2675&amp;rise=nan&amp;twist=nan&amp;csym=1&amp;rise2=2.98&amp;twist2=129.0&amp;csym2=1", "Link")</f>
        <v/>
      </c>
    </row>
    <row r="1458">
      <c r="A1458" t="inlineStr">
        <is>
          <t>EMD-1129</t>
        </is>
      </c>
      <c r="B1458" t="inlineStr">
        <is>
          <t>microtubule</t>
        </is>
      </c>
      <c r="C1458" t="n">
        <v>12</v>
      </c>
      <c r="D1458" t="inlineStr"/>
      <c r="E1458" t="inlineStr"/>
      <c r="F1458" t="inlineStr"/>
      <c r="G1458" t="inlineStr">
        <is>
          <t>4.4525908</t>
        </is>
      </c>
      <c r="H1458" t="n">
        <v>-30.91610135</v>
      </c>
      <c r="I1458" t="inlineStr">
        <is>
          <t>Cnan</t>
        </is>
      </c>
      <c r="J1458" t="inlineStr"/>
      <c r="K1458" t="inlineStr">
        <is>
          <t> </t>
        </is>
      </c>
      <c r="L1458" t="inlineStr"/>
      <c r="M1458" t="n">
        <v>0.985629176</v>
      </c>
      <c r="N1458" t="inlineStr">
        <is>
          <t>Yes</t>
        </is>
      </c>
      <c r="O1458" t="inlineStr">
        <is>
          <t>improve</t>
        </is>
      </c>
      <c r="P1458" t="inlineStr">
        <is>
          <t>no EMDB values</t>
        </is>
      </c>
      <c r="Q1458" t="inlineStr"/>
      <c r="R1458" t="inlineStr"/>
      <c r="S1458" t="inlineStr"/>
    </row>
    <row r="1459">
      <c r="A1459" t="inlineStr">
        <is>
          <t>EMD-1130</t>
        </is>
      </c>
      <c r="B1459" t="inlineStr">
        <is>
          <t>microtubule</t>
        </is>
      </c>
      <c r="C1459" t="n">
        <v>12</v>
      </c>
      <c r="D1459" t="inlineStr"/>
      <c r="E1459" t="inlineStr"/>
      <c r="F1459" t="inlineStr"/>
      <c r="G1459" t="inlineStr">
        <is>
          <t>3.296823427</t>
        </is>
      </c>
      <c r="H1459" t="n">
        <v>-23.01148203</v>
      </c>
      <c r="I1459" t="inlineStr">
        <is>
          <t>Cnan</t>
        </is>
      </c>
      <c r="J1459" t="inlineStr"/>
      <c r="K1459" t="inlineStr">
        <is>
          <t> </t>
        </is>
      </c>
      <c r="L1459" t="inlineStr"/>
      <c r="M1459" t="n">
        <v>0.981046085</v>
      </c>
      <c r="N1459" t="inlineStr">
        <is>
          <t>Yes</t>
        </is>
      </c>
      <c r="O1459" t="inlineStr">
        <is>
          <t>improve</t>
        </is>
      </c>
      <c r="P1459" t="inlineStr">
        <is>
          <t>no EMDB values</t>
        </is>
      </c>
      <c r="Q1459" t="inlineStr"/>
      <c r="R1459" t="inlineStr"/>
      <c r="S1459" t="inlineStr"/>
    </row>
    <row r="1460">
      <c r="A1460" t="inlineStr">
        <is>
          <t>EMD-6180</t>
        </is>
      </c>
      <c r="B1460" t="inlineStr">
        <is>
          <t>non-amyloid</t>
        </is>
      </c>
      <c r="C1460" t="n">
        <v>12</v>
      </c>
      <c r="D1460" t="n">
        <v>28.3</v>
      </c>
      <c r="E1460" t="n">
        <v>166.8</v>
      </c>
      <c r="F1460" t="inlineStr">
        <is>
          <t>C1</t>
        </is>
      </c>
      <c r="G1460" t="inlineStr">
        <is>
          <t>28.03259967</t>
        </is>
      </c>
      <c r="H1460" t="n">
        <v>-166.530154</v>
      </c>
      <c r="I1460" t="inlineStr">
        <is>
          <t>C1</t>
        </is>
      </c>
      <c r="J1460" t="n">
        <v>3.393387851752295</v>
      </c>
      <c r="K1460" t="inlineStr">
        <is>
          <t> </t>
        </is>
      </c>
      <c r="L1460" t="n">
        <v>0.72888</v>
      </c>
      <c r="M1460" t="n">
        <v>0.996332684</v>
      </c>
      <c r="N1460" t="inlineStr">
        <is>
          <t>Yes</t>
        </is>
      </c>
      <c r="O1460" t="inlineStr">
        <is>
          <t>improve</t>
        </is>
      </c>
      <c r="P1460" t="inlineStr">
        <is>
          <t>twist sign</t>
        </is>
      </c>
      <c r="Q1460" t="inlineStr"/>
      <c r="R1460" t="inlineStr"/>
      <c r="S1460">
        <f>HYPERLINK("https://helical-indexing-hi3d.streamlit.app/?emd_id=emd-6180&amp;rise=28.03259967&amp;twist=-166.530154&amp;csym=1&amp;rise2=28.3&amp;twist2=166.8&amp;csym2=1", "Link")</f>
        <v/>
      </c>
    </row>
    <row r="1461">
      <c r="A1461" t="inlineStr">
        <is>
          <t>EMD-3196</t>
        </is>
      </c>
      <c r="B1461" t="inlineStr">
        <is>
          <t>non-amyloid</t>
        </is>
      </c>
      <c r="C1461" t="n">
        <v>12.1</v>
      </c>
      <c r="D1461" t="n">
        <v>3.85</v>
      </c>
      <c r="E1461" t="n">
        <v>55.99</v>
      </c>
      <c r="F1461" t="inlineStr">
        <is>
          <t>C1</t>
        </is>
      </c>
      <c r="G1461" t="inlineStr">
        <is>
          <t>3.849037839</t>
        </is>
      </c>
      <c r="H1461" t="n">
        <v>-55.98630641</v>
      </c>
      <c r="I1461" t="inlineStr">
        <is>
          <t>C1</t>
        </is>
      </c>
      <c r="J1461" t="n">
        <v>33.1680680476851</v>
      </c>
      <c r="K1461" t="inlineStr">
        <is>
          <t> </t>
        </is>
      </c>
      <c r="L1461" t="n">
        <v>0.73993</v>
      </c>
      <c r="M1461" t="n">
        <v>0.997728882</v>
      </c>
      <c r="N1461" t="inlineStr">
        <is>
          <t>Yes</t>
        </is>
      </c>
      <c r="O1461" t="inlineStr">
        <is>
          <t>improve</t>
        </is>
      </c>
      <c r="P1461" t="inlineStr">
        <is>
          <t>twist sign</t>
        </is>
      </c>
      <c r="Q1461" t="inlineStr"/>
      <c r="R1461" t="inlineStr"/>
      <c r="S1461">
        <f>HYPERLINK("https://helical-indexing-hi3d.streamlit.app/?emd_id=emd-3196&amp;rise=3.849037839&amp;twist=-55.98630641&amp;csym=1&amp;rise2=3.85&amp;twist2=55.99&amp;csym2=1", "Link")</f>
        <v/>
      </c>
    </row>
    <row r="1462">
      <c r="A1462" t="inlineStr">
        <is>
          <t>EMD-5491</t>
        </is>
      </c>
      <c r="B1462" t="inlineStr">
        <is>
          <t>microtubule</t>
        </is>
      </c>
      <c r="C1462" t="n">
        <v>12.1</v>
      </c>
      <c r="D1462" t="n">
        <v>8.91752</v>
      </c>
      <c r="E1462" t="n">
        <v>25.76959</v>
      </c>
      <c r="F1462" t="inlineStr">
        <is>
          <t>C1</t>
        </is>
      </c>
      <c r="G1462" t="inlineStr">
        <is>
          <t>41.08</t>
        </is>
      </c>
      <c r="H1462" t="n">
        <v>-0.2</v>
      </c>
      <c r="I1462" t="inlineStr">
        <is>
          <t>C1</t>
        </is>
      </c>
      <c r="J1462" t="n">
        <v>32.53321463</v>
      </c>
      <c r="K1462" t="inlineStr">
        <is>
          <t> </t>
        </is>
      </c>
      <c r="L1462" t="n">
        <v>0.04183</v>
      </c>
      <c r="M1462" t="n">
        <v>0.987624028</v>
      </c>
      <c r="N1462" t="inlineStr">
        <is>
          <t>Yes</t>
        </is>
      </c>
      <c r="O1462" t="inlineStr">
        <is>
          <t>improve</t>
        </is>
      </c>
      <c r="P1462" t="inlineStr">
        <is>
          <t>different</t>
        </is>
      </c>
      <c r="Q1462" t="inlineStr"/>
      <c r="R1462" t="inlineStr"/>
      <c r="S1462">
        <f>HYPERLINK("https://helical-indexing-hi3d.streamlit.app/?emd_id=emd-5491&amp;rise=41.08&amp;twist=-0.2&amp;csym=1&amp;rise2=8.91752&amp;twist2=25.76959&amp;csym2=1", "Link")</f>
        <v/>
      </c>
    </row>
    <row r="1463">
      <c r="A1463" t="inlineStr">
        <is>
          <t>EMD-1949</t>
        </is>
      </c>
      <c r="B1463" t="inlineStr">
        <is>
          <t>non-amyloid</t>
        </is>
      </c>
      <c r="C1463" t="n">
        <v>12.2</v>
      </c>
      <c r="D1463" t="n">
        <v>7.52</v>
      </c>
      <c r="E1463" t="n">
        <v>27.3</v>
      </c>
      <c r="F1463" t="inlineStr"/>
      <c r="G1463" t="inlineStr">
        <is>
          <t>7.52</t>
        </is>
      </c>
      <c r="H1463" t="n">
        <v>27.3</v>
      </c>
      <c r="I1463" t="inlineStr">
        <is>
          <t>Cnan</t>
        </is>
      </c>
      <c r="J1463" t="n">
        <v>0</v>
      </c>
      <c r="K1463" t="inlineStr"/>
      <c r="L1463" t="n">
        <v>0.99863</v>
      </c>
      <c r="M1463" t="n">
        <v>0.99863</v>
      </c>
      <c r="N1463" t="inlineStr">
        <is>
          <t>Yes</t>
        </is>
      </c>
      <c r="O1463" t="inlineStr">
        <is>
          <t>equal</t>
        </is>
      </c>
      <c r="P1463" t="inlineStr">
        <is>
          <t>deposited</t>
        </is>
      </c>
      <c r="Q1463" t="inlineStr"/>
      <c r="R1463" t="inlineStr"/>
      <c r="S1463" t="inlineStr"/>
    </row>
    <row r="1464">
      <c r="A1464" t="inlineStr">
        <is>
          <t>EMD-2701</t>
        </is>
      </c>
      <c r="B1464" t="inlineStr">
        <is>
          <t>non-amyloid</t>
        </is>
      </c>
      <c r="C1464" t="n">
        <v>12.5</v>
      </c>
      <c r="D1464" t="n">
        <v>17.19</v>
      </c>
      <c r="E1464" t="n">
        <v>30.59</v>
      </c>
      <c r="F1464" t="inlineStr">
        <is>
          <t>C1</t>
        </is>
      </c>
      <c r="G1464" t="inlineStr">
        <is>
          <t>17.19</t>
        </is>
      </c>
      <c r="H1464" t="n">
        <v>30.59</v>
      </c>
      <c r="I1464" t="inlineStr">
        <is>
          <t>C1</t>
        </is>
      </c>
      <c r="J1464" t="n">
        <v>0</v>
      </c>
      <c r="K1464" t="inlineStr"/>
      <c r="L1464" t="n">
        <v>0.99841</v>
      </c>
      <c r="M1464" t="n">
        <v>0.99841</v>
      </c>
      <c r="N1464" t="inlineStr">
        <is>
          <t>Yes</t>
        </is>
      </c>
      <c r="O1464" t="inlineStr">
        <is>
          <t>equal</t>
        </is>
      </c>
      <c r="P1464" t="inlineStr">
        <is>
          <t>deposited</t>
        </is>
      </c>
      <c r="Q1464" t="inlineStr"/>
      <c r="R1464" t="inlineStr"/>
      <c r="S1464">
        <f>HYPERLINK("https://helical-indexing-hi3d.streamlit.app/?emd_id=emd-2701&amp;rise=17.19&amp;twist=30.59&amp;csym=1&amp;rise2=17.19&amp;twist2=30.59&amp;csym2=1", "Link")</f>
        <v/>
      </c>
    </row>
    <row r="1465">
      <c r="A1465" t="inlineStr">
        <is>
          <t>EMD-1236</t>
        </is>
      </c>
      <c r="B1465" t="inlineStr">
        <is>
          <t>non-amyloid</t>
        </is>
      </c>
      <c r="C1465" t="n">
        <v>12.5</v>
      </c>
      <c r="D1465" t="n">
        <v>10.5</v>
      </c>
      <c r="E1465" t="n">
        <v>100.8</v>
      </c>
      <c r="F1465" t="inlineStr"/>
      <c r="G1465" t="inlineStr">
        <is>
          <t>10.5</t>
        </is>
      </c>
      <c r="H1465" t="n">
        <v>100.8</v>
      </c>
      <c r="I1465" t="inlineStr">
        <is>
          <t>Cnan</t>
        </is>
      </c>
      <c r="J1465" t="n">
        <v>0</v>
      </c>
      <c r="K1465" t="inlineStr"/>
      <c r="L1465" t="n">
        <v>0.95728</v>
      </c>
      <c r="M1465" t="n">
        <v>0.95728</v>
      </c>
      <c r="N1465" t="inlineStr">
        <is>
          <t>Yes</t>
        </is>
      </c>
      <c r="O1465" t="inlineStr">
        <is>
          <t>equal</t>
        </is>
      </c>
      <c r="P1465" t="inlineStr">
        <is>
          <t>deposited</t>
        </is>
      </c>
      <c r="Q1465" t="inlineStr"/>
      <c r="R1465" t="inlineStr"/>
      <c r="S1465" t="inlineStr"/>
    </row>
    <row r="1466">
      <c r="A1466" t="inlineStr">
        <is>
          <t>EMD-5490</t>
        </is>
      </c>
      <c r="B1466" t="inlineStr">
        <is>
          <t>microtubule</t>
        </is>
      </c>
      <c r="C1466" t="n">
        <v>12.8</v>
      </c>
      <c r="D1466" t="n">
        <v>9.04016</v>
      </c>
      <c r="E1466" t="n">
        <v>25.76246</v>
      </c>
      <c r="F1466" t="inlineStr"/>
      <c r="G1466" t="inlineStr"/>
      <c r="H1466" t="inlineStr"/>
      <c r="I1466" t="inlineStr">
        <is>
          <t>C1</t>
        </is>
      </c>
      <c r="J1466" t="inlineStr"/>
      <c r="K1466" t="inlineStr"/>
      <c r="L1466" t="inlineStr"/>
      <c r="M1466" t="inlineStr"/>
      <c r="N1466" t="inlineStr">
        <is>
          <t>Excluded</t>
        </is>
      </c>
      <c r="O1466" t="inlineStr"/>
      <c r="P1466" t="inlineStr">
        <is>
          <t>single unit</t>
        </is>
      </c>
      <c r="Q1466" t="inlineStr"/>
      <c r="R1466" t="inlineStr"/>
      <c r="S1466" t="inlineStr"/>
    </row>
    <row r="1467">
      <c r="A1467" t="inlineStr">
        <is>
          <t>EMD-5523</t>
        </is>
      </c>
      <c r="B1467" t="inlineStr">
        <is>
          <t>non-amyloid</t>
        </is>
      </c>
      <c r="C1467" t="n">
        <v>13</v>
      </c>
      <c r="D1467" t="n">
        <v>5.9</v>
      </c>
      <c r="E1467" t="n">
        <v>129.2</v>
      </c>
      <c r="F1467" t="inlineStr">
        <is>
          <t>D2</t>
        </is>
      </c>
      <c r="G1467" t="inlineStr"/>
      <c r="H1467" t="inlineStr"/>
      <c r="I1467" t="inlineStr">
        <is>
          <t>C1</t>
        </is>
      </c>
      <c r="J1467" t="inlineStr"/>
      <c r="K1467" t="inlineStr"/>
      <c r="L1467" t="inlineStr"/>
      <c r="M1467" t="inlineStr"/>
      <c r="N1467" t="inlineStr">
        <is>
          <t>Excluded</t>
        </is>
      </c>
      <c r="O1467" t="inlineStr"/>
      <c r="P1467" t="inlineStr">
        <is>
          <t>single unit</t>
        </is>
      </c>
      <c r="Q1467" t="inlineStr"/>
      <c r="R1467" t="inlineStr"/>
      <c r="S1467">
        <f>HYPERLINK("https://helical-indexing-hi3d.streamlit.app/?emd_id=emd-5523&amp;rise=nan&amp;twist=nan&amp;csym=1&amp;rise2=5.9&amp;twist2=129.2&amp;csym2=2", "Link")</f>
        <v/>
      </c>
    </row>
    <row r="1468">
      <c r="A1468" t="inlineStr">
        <is>
          <t>EMD-1702</t>
        </is>
      </c>
      <c r="B1468" t="inlineStr">
        <is>
          <t>microtubule</t>
        </is>
      </c>
      <c r="C1468" t="n">
        <v>13</v>
      </c>
      <c r="D1468" t="inlineStr"/>
      <c r="E1468" t="inlineStr"/>
      <c r="F1468" t="inlineStr"/>
      <c r="G1468" t="inlineStr">
        <is>
          <t>5.362265177</t>
        </is>
      </c>
      <c r="H1468" t="n">
        <v>168.0963941</v>
      </c>
      <c r="I1468" t="inlineStr">
        <is>
          <t>Cnan</t>
        </is>
      </c>
      <c r="J1468" t="inlineStr"/>
      <c r="K1468" t="inlineStr">
        <is>
          <t> </t>
        </is>
      </c>
      <c r="L1468" t="inlineStr"/>
      <c r="M1468" t="n">
        <v>0.9603388309999999</v>
      </c>
      <c r="N1468" t="inlineStr">
        <is>
          <t>Yes</t>
        </is>
      </c>
      <c r="O1468" t="inlineStr">
        <is>
          <t>improve</t>
        </is>
      </c>
      <c r="P1468" t="inlineStr">
        <is>
          <t>no EMDB values</t>
        </is>
      </c>
      <c r="Q1468" t="inlineStr"/>
      <c r="R1468" t="inlineStr"/>
      <c r="S1468" t="inlineStr"/>
    </row>
    <row r="1469">
      <c r="A1469" t="inlineStr">
        <is>
          <t>EMD-5492</t>
        </is>
      </c>
      <c r="B1469" t="inlineStr">
        <is>
          <t>microtubule</t>
        </is>
      </c>
      <c r="C1469" t="n">
        <v>13</v>
      </c>
      <c r="D1469" t="n">
        <v>8.929790000000001</v>
      </c>
      <c r="E1469" t="n">
        <v>25.76198</v>
      </c>
      <c r="F1469" t="inlineStr"/>
      <c r="G1469" t="inlineStr"/>
      <c r="H1469" t="inlineStr"/>
      <c r="I1469" t="inlineStr">
        <is>
          <t>C1</t>
        </is>
      </c>
      <c r="J1469" t="inlineStr"/>
      <c r="K1469" t="inlineStr"/>
      <c r="L1469" t="inlineStr"/>
      <c r="M1469" t="inlineStr"/>
      <c r="N1469" t="inlineStr">
        <is>
          <t>Excluded</t>
        </is>
      </c>
      <c r="O1469" t="inlineStr"/>
      <c r="P1469" t="inlineStr">
        <is>
          <t>single unit</t>
        </is>
      </c>
      <c r="Q1469" t="inlineStr"/>
      <c r="R1469" t="inlineStr"/>
      <c r="S1469" t="inlineStr"/>
    </row>
    <row r="1470">
      <c r="A1470" t="inlineStr">
        <is>
          <t>EMD-1746</t>
        </is>
      </c>
      <c r="B1470" t="inlineStr">
        <is>
          <t>non-amyloid</t>
        </is>
      </c>
      <c r="C1470" t="n">
        <v>13</v>
      </c>
      <c r="D1470" t="n">
        <v>10.5</v>
      </c>
      <c r="E1470" t="n">
        <v>37.4</v>
      </c>
      <c r="F1470" t="inlineStr">
        <is>
          <t>C1</t>
        </is>
      </c>
      <c r="G1470" t="inlineStr">
        <is>
          <t>10.34981769</t>
        </is>
      </c>
      <c r="H1470" t="n">
        <v>-37.40146751</v>
      </c>
      <c r="I1470" t="inlineStr">
        <is>
          <t>C1</t>
        </is>
      </c>
      <c r="J1470" t="n">
        <v>13.97809882910564</v>
      </c>
      <c r="K1470" t="inlineStr">
        <is>
          <t> </t>
        </is>
      </c>
      <c r="L1470" t="n">
        <v>0.59415</v>
      </c>
      <c r="M1470" t="n">
        <v>0.929425292</v>
      </c>
      <c r="N1470" t="inlineStr">
        <is>
          <t>Yes</t>
        </is>
      </c>
      <c r="O1470" t="inlineStr">
        <is>
          <t>improve</t>
        </is>
      </c>
      <c r="P1470" t="inlineStr">
        <is>
          <t>twist sign</t>
        </is>
      </c>
      <c r="Q1470" t="inlineStr"/>
      <c r="R1470" t="inlineStr"/>
      <c r="S1470">
        <f>HYPERLINK("https://helical-indexing-hi3d.streamlit.app/?emd_id=emd-1746&amp;rise=10.34981769&amp;twist=-37.40146751&amp;csym=1&amp;rise2=10.5&amp;twist2=37.4&amp;csym2=1", "Link")</f>
        <v/>
      </c>
    </row>
    <row r="1471">
      <c r="A1471" t="inlineStr">
        <is>
          <t>EMD-1751</t>
        </is>
      </c>
      <c r="B1471" t="inlineStr">
        <is>
          <t>non-amyloid</t>
        </is>
      </c>
      <c r="C1471" t="n">
        <v>13</v>
      </c>
      <c r="D1471" t="n">
        <v>104</v>
      </c>
      <c r="E1471" t="n">
        <v>19</v>
      </c>
      <c r="F1471" t="inlineStr">
        <is>
          <t>C9</t>
        </is>
      </c>
      <c r="G1471" t="inlineStr">
        <is>
          <t>104</t>
        </is>
      </c>
      <c r="H1471" t="n">
        <v>19</v>
      </c>
      <c r="I1471" t="inlineStr">
        <is>
          <t>C9</t>
        </is>
      </c>
      <c r="J1471" t="n">
        <v>0</v>
      </c>
      <c r="K1471" t="inlineStr">
        <is>
          <t> </t>
        </is>
      </c>
      <c r="L1471" t="n">
        <v>0.81471</v>
      </c>
      <c r="M1471" t="n">
        <v>0.81471</v>
      </c>
      <c r="N1471" t="inlineStr">
        <is>
          <t>Yes</t>
        </is>
      </c>
      <c r="O1471" t="inlineStr">
        <is>
          <t>equal</t>
        </is>
      </c>
      <c r="P1471" t="inlineStr">
        <is>
          <t>deposited</t>
        </is>
      </c>
      <c r="Q1471" t="inlineStr"/>
      <c r="R1471" t="inlineStr"/>
      <c r="S1471">
        <f>HYPERLINK("https://helical-indexing-hi3d.streamlit.app/?emd_id=emd-1751&amp;rise=104&amp;twist=19.0&amp;csym=9&amp;rise2=104.0&amp;twist2=19.0&amp;csym2=9", "Link")</f>
        <v/>
      </c>
    </row>
    <row r="1472">
      <c r="A1472" t="inlineStr">
        <is>
          <t>EMD-5450</t>
        </is>
      </c>
      <c r="B1472" t="inlineStr">
        <is>
          <t>non-amyloid</t>
        </is>
      </c>
      <c r="C1472" t="n">
        <v>13</v>
      </c>
      <c r="D1472" t="n">
        <v>17.1</v>
      </c>
      <c r="E1472" t="n">
        <v>56.4</v>
      </c>
      <c r="F1472" t="inlineStr">
        <is>
          <t>C3</t>
        </is>
      </c>
      <c r="G1472" t="inlineStr"/>
      <c r="H1472" t="inlineStr"/>
      <c r="I1472" t="inlineStr">
        <is>
          <t>C3</t>
        </is>
      </c>
      <c r="J1472" t="inlineStr"/>
      <c r="K1472" t="inlineStr">
        <is>
          <t> </t>
        </is>
      </c>
      <c r="L1472" t="inlineStr"/>
      <c r="M1472" t="inlineStr"/>
      <c r="N1472" t="inlineStr">
        <is>
          <t>Excluded</t>
        </is>
      </c>
      <c r="O1472" t="inlineStr">
        <is>
          <t>equal</t>
        </is>
      </c>
      <c r="P1472" t="inlineStr">
        <is>
          <t>xy-shifted</t>
        </is>
      </c>
      <c r="Q1472" t="inlineStr"/>
      <c r="R1472" t="inlineStr"/>
      <c r="S1472">
        <f>HYPERLINK("https://helical-indexing-hi3d.streamlit.app/?emd_id=emd-5450&amp;rise=nan&amp;twist=nan&amp;csym=3&amp;rise2=17.1&amp;twist2=56.4&amp;csym2=3", "Link")</f>
        <v/>
      </c>
    </row>
    <row r="1473">
      <c r="A1473" t="inlineStr">
        <is>
          <t>EMD-6167</t>
        </is>
      </c>
      <c r="B1473" t="inlineStr">
        <is>
          <t>non-amyloid</t>
        </is>
      </c>
      <c r="C1473" t="n">
        <v>13</v>
      </c>
      <c r="D1473" t="n">
        <v>24.7</v>
      </c>
      <c r="E1473" t="n">
        <v>48.2</v>
      </c>
      <c r="F1473" t="inlineStr">
        <is>
          <t>C1</t>
        </is>
      </c>
      <c r="G1473" t="inlineStr">
        <is>
          <t>24.98432207</t>
        </is>
      </c>
      <c r="H1473" t="n">
        <v>46.36934484</v>
      </c>
      <c r="I1473" t="inlineStr">
        <is>
          <t>C1</t>
        </is>
      </c>
      <c r="J1473" t="n">
        <v>0.3556036289678527</v>
      </c>
      <c r="K1473" t="inlineStr"/>
      <c r="L1473" t="n">
        <v>0.94157</v>
      </c>
      <c r="M1473" t="n">
        <v>0.996563658</v>
      </c>
      <c r="N1473" t="inlineStr">
        <is>
          <t>Yes</t>
        </is>
      </c>
      <c r="O1473" t="inlineStr">
        <is>
          <t>improve</t>
        </is>
      </c>
      <c r="P1473" t="inlineStr">
        <is>
          <t>adjusted decimals</t>
        </is>
      </c>
      <c r="Q1473" t="inlineStr"/>
      <c r="R1473" t="inlineStr"/>
      <c r="S1473">
        <f>HYPERLINK("https://helical-indexing-hi3d.streamlit.app/?emd_id=emd-6167&amp;rise=24.98432207&amp;twist=46.36934484&amp;csym=1&amp;rise2=24.7&amp;twist2=48.2&amp;csym2=1", "Link")</f>
        <v/>
      </c>
    </row>
    <row r="1474">
      <c r="A1474" t="inlineStr">
        <is>
          <t>EMD-0737</t>
        </is>
      </c>
      <c r="B1474" t="inlineStr">
        <is>
          <t>non-amyloid</t>
        </is>
      </c>
      <c r="C1474" t="n">
        <v>13.1</v>
      </c>
      <c r="D1474" t="n">
        <v>7.209</v>
      </c>
      <c r="E1474" t="n">
        <v>161.171</v>
      </c>
      <c r="F1474" t="inlineStr">
        <is>
          <t>C1</t>
        </is>
      </c>
      <c r="G1474" t="inlineStr">
        <is>
          <t>7.209</t>
        </is>
      </c>
      <c r="H1474" t="n">
        <v>161.171</v>
      </c>
      <c r="I1474" t="inlineStr">
        <is>
          <t>C1</t>
        </is>
      </c>
      <c r="J1474" t="n">
        <v>0</v>
      </c>
      <c r="K1474" t="inlineStr"/>
      <c r="L1474" t="n">
        <v>0.92855</v>
      </c>
      <c r="M1474" t="n">
        <v>0.92855</v>
      </c>
      <c r="N1474" t="inlineStr">
        <is>
          <t>Yes</t>
        </is>
      </c>
      <c r="O1474" t="inlineStr">
        <is>
          <t>equal</t>
        </is>
      </c>
      <c r="P1474" t="inlineStr">
        <is>
          <t>deposited</t>
        </is>
      </c>
      <c r="Q1474" t="inlineStr"/>
      <c r="R1474" t="inlineStr"/>
      <c r="S1474">
        <f>HYPERLINK("https://helical-indexing-hi3d.streamlit.app/?emd_id=emd-0737&amp;rise=7.209&amp;twist=161.171&amp;csym=1&amp;rise2=7.209&amp;twist2=161.171&amp;csym2=1", "Link")</f>
        <v/>
      </c>
    </row>
    <row r="1475">
      <c r="A1475" t="inlineStr">
        <is>
          <t>EMD-6933</t>
        </is>
      </c>
      <c r="B1475" t="inlineStr">
        <is>
          <t>non-amyloid</t>
        </is>
      </c>
      <c r="C1475" t="n">
        <v>14</v>
      </c>
      <c r="D1475" t="n">
        <v>3.06</v>
      </c>
      <c r="E1475" t="n">
        <v>-31.74</v>
      </c>
      <c r="F1475" t="inlineStr">
        <is>
          <t>C1</t>
        </is>
      </c>
      <c r="G1475" t="inlineStr">
        <is>
          <t>3.06</t>
        </is>
      </c>
      <c r="H1475" t="n">
        <v>-31.74</v>
      </c>
      <c r="I1475" t="inlineStr">
        <is>
          <t>C1</t>
        </is>
      </c>
      <c r="J1475" t="n">
        <v>0</v>
      </c>
      <c r="K1475" t="inlineStr"/>
      <c r="L1475" t="n">
        <v>0.9628783359999999</v>
      </c>
      <c r="M1475" t="n">
        <v>0.9628783359999999</v>
      </c>
      <c r="N1475" t="inlineStr">
        <is>
          <t>Yes</t>
        </is>
      </c>
      <c r="O1475" t="inlineStr">
        <is>
          <t>equal</t>
        </is>
      </c>
      <c r="P1475" t="inlineStr">
        <is>
          <t>deposited</t>
        </is>
      </c>
      <c r="Q1475" t="inlineStr"/>
      <c r="R1475" t="inlineStr"/>
      <c r="S1475">
        <f>HYPERLINK("https://helical-indexing-hi3d.streamlit.app/?emd_id=emd-6933&amp;rise=3.06&amp;twist=-31.74&amp;csym=1&amp;rise2=3.06&amp;twist2=-31.74&amp;csym2=1", "Link")</f>
        <v/>
      </c>
    </row>
    <row r="1476">
      <c r="A1476" t="inlineStr">
        <is>
          <t>EMD-9568</t>
        </is>
      </c>
      <c r="B1476" t="inlineStr">
        <is>
          <t>non-amyloid</t>
        </is>
      </c>
      <c r="C1476" t="n">
        <v>14</v>
      </c>
      <c r="D1476" t="n">
        <v>15.27</v>
      </c>
      <c r="E1476" t="n">
        <v>56.4</v>
      </c>
      <c r="F1476" t="inlineStr">
        <is>
          <t>C1</t>
        </is>
      </c>
      <c r="G1476" t="inlineStr">
        <is>
          <t>15.27</t>
        </is>
      </c>
      <c r="H1476" t="n">
        <v>56.4</v>
      </c>
      <c r="I1476" t="inlineStr">
        <is>
          <t>C1</t>
        </is>
      </c>
      <c r="J1476" t="n">
        <v>0</v>
      </c>
      <c r="K1476" t="inlineStr"/>
      <c r="L1476" t="n">
        <v>0.991411206</v>
      </c>
      <c r="M1476" t="n">
        <v>0.991411206</v>
      </c>
      <c r="N1476" t="inlineStr">
        <is>
          <t>Yes</t>
        </is>
      </c>
      <c r="O1476" t="inlineStr">
        <is>
          <t>equal</t>
        </is>
      </c>
      <c r="P1476" t="inlineStr">
        <is>
          <t>deposited</t>
        </is>
      </c>
      <c r="Q1476" t="inlineStr"/>
      <c r="R1476" t="inlineStr"/>
      <c r="S1476">
        <f>HYPERLINK("https://helical-indexing-hi3d.streamlit.app/?emd_id=emd-9568&amp;rise=15.27&amp;twist=56.4&amp;csym=1&amp;rise2=15.27&amp;twist2=56.4&amp;csym2=1", "Link")</f>
        <v/>
      </c>
    </row>
    <row r="1477">
      <c r="A1477" t="inlineStr">
        <is>
          <t>EMD-1267</t>
        </is>
      </c>
      <c r="B1477" t="inlineStr">
        <is>
          <t>non-amyloid</t>
        </is>
      </c>
      <c r="C1477" t="n">
        <v>14</v>
      </c>
      <c r="D1477" t="n">
        <v>40</v>
      </c>
      <c r="E1477" t="n">
        <v>21</v>
      </c>
      <c r="F1477" t="inlineStr">
        <is>
          <t>C6</t>
        </is>
      </c>
      <c r="G1477" t="inlineStr">
        <is>
          <t>37.6775014</t>
        </is>
      </c>
      <c r="H1477" t="n">
        <v>-21.96333601</v>
      </c>
      <c r="I1477" t="inlineStr">
        <is>
          <t>C6</t>
        </is>
      </c>
      <c r="J1477" t="n">
        <v>2.383939638</v>
      </c>
      <c r="K1477" t="inlineStr">
        <is>
          <t> </t>
        </is>
      </c>
      <c r="L1477" t="n">
        <v>0.72284</v>
      </c>
      <c r="M1477" t="n">
        <v>0.825352604</v>
      </c>
      <c r="N1477" t="inlineStr">
        <is>
          <t>Yes</t>
        </is>
      </c>
      <c r="O1477" t="inlineStr">
        <is>
          <t>improve</t>
        </is>
      </c>
      <c r="P1477" t="inlineStr">
        <is>
          <t>twist sign</t>
        </is>
      </c>
      <c r="Q1477" t="inlineStr"/>
      <c r="R1477" t="inlineStr"/>
      <c r="S1477">
        <f>HYPERLINK("https://helical-indexing-hi3d.streamlit.app/?emd_id=emd-1267&amp;rise=37.6775014&amp;twist=-21.96333601&amp;csym=6&amp;rise2=40.0&amp;twist2=21.0&amp;csym2=6", "Link")</f>
        <v/>
      </c>
    </row>
    <row r="1478">
      <c r="A1478" t="inlineStr">
        <is>
          <t>EMD-10136</t>
        </is>
      </c>
      <c r="B1478" t="inlineStr">
        <is>
          <t>non-amyloid</t>
        </is>
      </c>
      <c r="C1478" t="n">
        <v>14.1</v>
      </c>
      <c r="D1478" t="n">
        <v>10.6</v>
      </c>
      <c r="E1478" t="n">
        <v>6.7</v>
      </c>
      <c r="F1478" t="inlineStr">
        <is>
          <t>C1</t>
        </is>
      </c>
      <c r="G1478" t="inlineStr"/>
      <c r="H1478" t="inlineStr"/>
      <c r="I1478" t="inlineStr">
        <is>
          <t>C1</t>
        </is>
      </c>
      <c r="J1478" t="inlineStr"/>
      <c r="K1478" t="inlineStr">
        <is>
          <t> </t>
        </is>
      </c>
      <c r="L1478" t="n">
        <v>0.61496</v>
      </c>
      <c r="M1478" t="inlineStr"/>
      <c r="N1478" t="inlineStr">
        <is>
          <t>Excluded</t>
        </is>
      </c>
      <c r="O1478" t="inlineStr">
        <is>
          <t>worse</t>
        </is>
      </c>
      <c r="P1478" t="inlineStr">
        <is>
          <t>partial map</t>
        </is>
      </c>
      <c r="Q1478" t="inlineStr"/>
      <c r="R1478" t="inlineStr"/>
      <c r="S1478">
        <f>HYPERLINK("https://helical-indexing-hi3d.streamlit.app/?emd_id=emd-10136&amp;rise=nan&amp;twist=nan&amp;csym=1&amp;rise2=10.6&amp;twist2=6.7&amp;csym2=1", "Link")</f>
        <v/>
      </c>
    </row>
    <row r="1479">
      <c r="A1479" t="inlineStr">
        <is>
          <t>EMD-10737</t>
        </is>
      </c>
      <c r="B1479" t="inlineStr">
        <is>
          <t>non-amyloid</t>
        </is>
      </c>
      <c r="C1479" t="n">
        <v>14.2</v>
      </c>
      <c r="D1479" t="n">
        <v>27.6</v>
      </c>
      <c r="E1479" t="n">
        <v>166.7</v>
      </c>
      <c r="F1479" t="inlineStr">
        <is>
          <t>C1</t>
        </is>
      </c>
      <c r="G1479" t="inlineStr">
        <is>
          <t>27.6</t>
        </is>
      </c>
      <c r="H1479" t="n">
        <v>-166.7</v>
      </c>
      <c r="I1479" t="inlineStr">
        <is>
          <t>C1</t>
        </is>
      </c>
      <c r="J1479" t="n">
        <v>2.065477775</v>
      </c>
      <c r="K1479" t="inlineStr">
        <is>
          <t> </t>
        </is>
      </c>
      <c r="L1479" t="n">
        <v>0.5372</v>
      </c>
      <c r="M1479" t="n">
        <v>0.923523411</v>
      </c>
      <c r="N1479" t="inlineStr">
        <is>
          <t>Yes</t>
        </is>
      </c>
      <c r="O1479" t="inlineStr">
        <is>
          <t>improve</t>
        </is>
      </c>
      <c r="P1479" t="inlineStr">
        <is>
          <t>twist sign</t>
        </is>
      </c>
      <c r="Q1479" t="inlineStr"/>
      <c r="R1479" t="inlineStr"/>
      <c r="S1479">
        <f>HYPERLINK("https://helical-indexing-hi3d.streamlit.app/?emd_id=emd-10737&amp;rise=27.6&amp;twist=-166.7&amp;csym=1&amp;rise2=27.6&amp;twist2=166.7&amp;csym2=1", "Link")</f>
        <v/>
      </c>
    </row>
    <row r="1480">
      <c r="A1480" t="inlineStr">
        <is>
          <t>EMD-1268</t>
        </is>
      </c>
      <c r="B1480" t="inlineStr">
        <is>
          <t>non-amyloid</t>
        </is>
      </c>
      <c r="C1480" t="n">
        <v>14.5</v>
      </c>
      <c r="D1480" t="n">
        <v>40</v>
      </c>
      <c r="E1480" t="n">
        <v>21</v>
      </c>
      <c r="F1480" t="inlineStr">
        <is>
          <t>C6</t>
        </is>
      </c>
      <c r="G1480" t="inlineStr">
        <is>
          <t>40</t>
        </is>
      </c>
      <c r="H1480" t="n">
        <v>-21</v>
      </c>
      <c r="I1480" t="inlineStr">
        <is>
          <t>C6</t>
        </is>
      </c>
      <c r="J1480" t="n">
        <v>4.046884208897516</v>
      </c>
      <c r="K1480" t="inlineStr">
        <is>
          <t> </t>
        </is>
      </c>
      <c r="L1480" t="n">
        <v>0.62902</v>
      </c>
      <c r="M1480" t="n">
        <v>0.921207274</v>
      </c>
      <c r="N1480" t="inlineStr">
        <is>
          <t>Yes</t>
        </is>
      </c>
      <c r="O1480" t="inlineStr">
        <is>
          <t>improve</t>
        </is>
      </c>
      <c r="P1480" t="inlineStr">
        <is>
          <t>twist sign</t>
        </is>
      </c>
      <c r="Q1480" t="inlineStr"/>
      <c r="R1480" t="inlineStr"/>
      <c r="S1480">
        <f>HYPERLINK("https://helical-indexing-hi3d.streamlit.app/?emd_id=emd-1268&amp;rise=40&amp;twist=-21.0&amp;csym=6&amp;rise2=40.0&amp;twist2=21.0&amp;csym2=6", "Link")</f>
        <v/>
      </c>
    </row>
    <row r="1481">
      <c r="A1481" t="inlineStr">
        <is>
          <t>EMD-9901</t>
        </is>
      </c>
      <c r="B1481" t="inlineStr">
        <is>
          <t>non-amyloid</t>
        </is>
      </c>
      <c r="C1481" t="n">
        <v>15</v>
      </c>
      <c r="D1481" t="n">
        <v>27</v>
      </c>
      <c r="E1481" t="n">
        <v>20.87</v>
      </c>
      <c r="F1481" t="inlineStr">
        <is>
          <t>C6</t>
        </is>
      </c>
      <c r="G1481" t="inlineStr">
        <is>
          <t>26.11895712</t>
        </is>
      </c>
      <c r="H1481" t="n">
        <v>-20.84182402</v>
      </c>
      <c r="I1481" t="inlineStr">
        <is>
          <t>C6</t>
        </is>
      </c>
      <c r="J1481" t="n">
        <v>33.67567849989979</v>
      </c>
      <c r="K1481" t="inlineStr">
        <is>
          <t> </t>
        </is>
      </c>
      <c r="L1481" t="n">
        <v>0.7793776569999999</v>
      </c>
      <c r="M1481" t="n">
        <v>0.994711785</v>
      </c>
      <c r="N1481" t="inlineStr">
        <is>
          <t>Yes</t>
        </is>
      </c>
      <c r="O1481" t="inlineStr">
        <is>
          <t>improve</t>
        </is>
      </c>
      <c r="P1481" t="inlineStr">
        <is>
          <t>twist sign</t>
        </is>
      </c>
      <c r="Q1481" t="inlineStr"/>
      <c r="R1481" t="inlineStr"/>
      <c r="S1481">
        <f>HYPERLINK("https://helical-indexing-hi3d.streamlit.app/?emd_id=emd-9901&amp;rise=26.11895712&amp;twist=-20.84182402&amp;csym=6&amp;rise2=27.0&amp;twist2=20.87&amp;csym2=6", "Link")</f>
        <v/>
      </c>
    </row>
    <row r="1482">
      <c r="A1482" t="inlineStr">
        <is>
          <t>EMD-2546</t>
        </is>
      </c>
      <c r="B1482" t="inlineStr">
        <is>
          <t>non-amyloid</t>
        </is>
      </c>
      <c r="C1482" t="n">
        <v>15</v>
      </c>
      <c r="D1482" t="n">
        <v>23.2</v>
      </c>
      <c r="E1482" t="n">
        <v>93</v>
      </c>
      <c r="F1482" t="inlineStr">
        <is>
          <t>C3</t>
        </is>
      </c>
      <c r="G1482" t="inlineStr">
        <is>
          <t>23.2</t>
        </is>
      </c>
      <c r="H1482" t="n">
        <v>42.72</v>
      </c>
      <c r="I1482" t="inlineStr">
        <is>
          <t>C3</t>
        </is>
      </c>
      <c r="J1482" t="n">
        <v>12.72601773122492</v>
      </c>
      <c r="K1482" t="inlineStr">
        <is>
          <t> </t>
        </is>
      </c>
      <c r="L1482" t="n">
        <v>0.35885</v>
      </c>
      <c r="M1482" t="n">
        <v>0.9907877389999999</v>
      </c>
      <c r="N1482" t="inlineStr">
        <is>
          <t>Yes</t>
        </is>
      </c>
      <c r="O1482" t="inlineStr">
        <is>
          <t>improve</t>
        </is>
      </c>
      <c r="P1482" t="inlineStr">
        <is>
          <t>different</t>
        </is>
      </c>
      <c r="Q1482" t="inlineStr">
        <is>
          <t>paper mismatch</t>
        </is>
      </c>
      <c r="R1482" t="inlineStr"/>
      <c r="S1482">
        <f>HYPERLINK("https://helical-indexing-hi3d.streamlit.app/?emd_id=emd-2546&amp;rise=23.2&amp;twist=42.72&amp;csym=3&amp;rise2=23.2&amp;twist2=93.0&amp;csym2=3", "Link")</f>
        <v/>
      </c>
    </row>
    <row r="1483">
      <c r="A1483" t="inlineStr">
        <is>
          <t>EMD-5540</t>
        </is>
      </c>
      <c r="B1483" t="inlineStr">
        <is>
          <t>non-amyloid</t>
        </is>
      </c>
      <c r="C1483" t="n">
        <v>15</v>
      </c>
      <c r="D1483" t="n">
        <v>7.6</v>
      </c>
      <c r="E1483" t="n">
        <v>0.5</v>
      </c>
      <c r="F1483" t="inlineStr"/>
      <c r="G1483" t="inlineStr">
        <is>
          <t>55</t>
        </is>
      </c>
      <c r="H1483" t="n">
        <v>-0.2</v>
      </c>
      <c r="I1483" t="inlineStr">
        <is>
          <t>Cnan</t>
        </is>
      </c>
      <c r="J1483" t="n">
        <v>47.4008926032437</v>
      </c>
      <c r="K1483" t="inlineStr">
        <is>
          <t> </t>
        </is>
      </c>
      <c r="L1483" t="n">
        <v>0.47392</v>
      </c>
      <c r="M1483" t="n">
        <v>0.9491000000000001</v>
      </c>
      <c r="N1483" t="inlineStr">
        <is>
          <t>Yes</t>
        </is>
      </c>
      <c r="O1483" t="inlineStr">
        <is>
          <t>improve</t>
        </is>
      </c>
      <c r="P1483" t="inlineStr">
        <is>
          <t>different</t>
        </is>
      </c>
      <c r="Q1483" t="inlineStr">
        <is>
          <t>paper mismatch</t>
        </is>
      </c>
      <c r="R1483" t="inlineStr"/>
      <c r="S1483" t="inlineStr"/>
    </row>
    <row r="1484">
      <c r="A1484" t="inlineStr">
        <is>
          <t>EMD-5170</t>
        </is>
      </c>
      <c r="B1484" t="inlineStr">
        <is>
          <t>non-amyloid</t>
        </is>
      </c>
      <c r="C1484" t="n">
        <v>15</v>
      </c>
      <c r="D1484" t="n">
        <v>27.7</v>
      </c>
      <c r="E1484" t="n">
        <v>166.8</v>
      </c>
      <c r="F1484" t="inlineStr"/>
      <c r="G1484" t="inlineStr">
        <is>
          <t>25.9848569</t>
        </is>
      </c>
      <c r="H1484" t="n">
        <v>-166.8005399</v>
      </c>
      <c r="I1484" t="inlineStr">
        <is>
          <t>Cnan</t>
        </is>
      </c>
      <c r="J1484" t="n">
        <v>3.649715134450854</v>
      </c>
      <c r="K1484" t="inlineStr">
        <is>
          <t> </t>
        </is>
      </c>
      <c r="L1484" t="n">
        <v>0.6008599999999999</v>
      </c>
      <c r="M1484" t="n">
        <v>0.987403352</v>
      </c>
      <c r="N1484" t="inlineStr">
        <is>
          <t>Yes</t>
        </is>
      </c>
      <c r="O1484" t="inlineStr">
        <is>
          <t>improve</t>
        </is>
      </c>
      <c r="P1484" t="inlineStr">
        <is>
          <t>twist sign</t>
        </is>
      </c>
      <c r="Q1484" t="inlineStr"/>
      <c r="R1484" t="inlineStr"/>
      <c r="S1484" t="inlineStr"/>
    </row>
    <row r="1485">
      <c r="A1485" t="inlineStr">
        <is>
          <t>EMD-1427</t>
        </is>
      </c>
      <c r="B1485" t="inlineStr">
        <is>
          <t>non-amyloid</t>
        </is>
      </c>
      <c r="C1485" t="n">
        <v>15</v>
      </c>
      <c r="D1485" t="inlineStr"/>
      <c r="E1485" t="inlineStr"/>
      <c r="F1485" t="inlineStr"/>
      <c r="G1485" t="inlineStr">
        <is>
          <t>5.7</t>
        </is>
      </c>
      <c r="H1485" t="n">
        <v>168.3</v>
      </c>
      <c r="I1485" t="inlineStr">
        <is>
          <t>Cnan</t>
        </is>
      </c>
      <c r="J1485" t="inlineStr"/>
      <c r="K1485" t="inlineStr">
        <is>
          <t>z -&gt; x</t>
        </is>
      </c>
      <c r="L1485" t="inlineStr"/>
      <c r="M1485" t="n">
        <v>0.8492318599999999</v>
      </c>
      <c r="N1485" t="inlineStr">
        <is>
          <t>No</t>
        </is>
      </c>
      <c r="O1485" t="inlineStr">
        <is>
          <t>improve</t>
        </is>
      </c>
      <c r="P1485" t="inlineStr">
        <is>
          <t>no EMDB values</t>
        </is>
      </c>
      <c r="Q1485" t="inlineStr"/>
      <c r="R1485" t="inlineStr"/>
      <c r="S1485" t="inlineStr"/>
    </row>
    <row r="1486">
      <c r="A1486" t="inlineStr">
        <is>
          <t>EMD-1649</t>
        </is>
      </c>
      <c r="B1486" t="inlineStr">
        <is>
          <t>non-amyloid</t>
        </is>
      </c>
      <c r="C1486" t="n">
        <v>15</v>
      </c>
      <c r="D1486" t="inlineStr"/>
      <c r="E1486" t="inlineStr"/>
      <c r="F1486" t="inlineStr"/>
      <c r="G1486" t="inlineStr"/>
      <c r="H1486" t="inlineStr"/>
      <c r="I1486" t="inlineStr">
        <is>
          <t>Cnan</t>
        </is>
      </c>
      <c r="J1486" t="inlineStr"/>
      <c r="K1486" t="inlineStr">
        <is>
          <t> </t>
        </is>
      </c>
      <c r="L1486" t="inlineStr"/>
      <c r="M1486" t="inlineStr"/>
      <c r="N1486" t="inlineStr">
        <is>
          <t>Excluded</t>
        </is>
      </c>
      <c r="O1486" t="inlineStr">
        <is>
          <t>equal</t>
        </is>
      </c>
      <c r="P1486" t="inlineStr"/>
      <c r="Q1486" t="inlineStr"/>
      <c r="R1486" t="inlineStr"/>
      <c r="S1486" t="inlineStr"/>
    </row>
    <row r="1487">
      <c r="A1487" t="inlineStr">
        <is>
          <t>EMD-1429</t>
        </is>
      </c>
      <c r="B1487" t="inlineStr">
        <is>
          <t>non-amyloid</t>
        </is>
      </c>
      <c r="C1487" t="n">
        <v>15</v>
      </c>
      <c r="D1487" t="inlineStr"/>
      <c r="E1487" t="inlineStr"/>
      <c r="F1487" t="inlineStr"/>
      <c r="G1487" t="inlineStr">
        <is>
          <t>5.422633056</t>
        </is>
      </c>
      <c r="H1487" t="n">
        <v>-168.1969136</v>
      </c>
      <c r="I1487" t="inlineStr">
        <is>
          <t>Cnan</t>
        </is>
      </c>
      <c r="J1487" t="inlineStr"/>
      <c r="K1487" t="inlineStr">
        <is>
          <t> </t>
        </is>
      </c>
      <c r="L1487" t="inlineStr"/>
      <c r="M1487" t="n">
        <v>0.900727922</v>
      </c>
      <c r="N1487" t="inlineStr">
        <is>
          <t>Yes</t>
        </is>
      </c>
      <c r="O1487" t="inlineStr">
        <is>
          <t>improve</t>
        </is>
      </c>
      <c r="P1487" t="inlineStr">
        <is>
          <t>no EMDB values</t>
        </is>
      </c>
      <c r="Q1487" t="inlineStr"/>
      <c r="R1487" t="inlineStr"/>
      <c r="S1487" t="inlineStr"/>
    </row>
    <row r="1488">
      <c r="A1488" t="inlineStr">
        <is>
          <t>EMD-5367</t>
        </is>
      </c>
      <c r="B1488" t="inlineStr">
        <is>
          <t>non-amyloid</t>
        </is>
      </c>
      <c r="C1488" t="n">
        <v>15</v>
      </c>
      <c r="D1488" t="n">
        <v>19.82</v>
      </c>
      <c r="E1488" t="n">
        <v>66.83</v>
      </c>
      <c r="F1488" t="inlineStr">
        <is>
          <t>C2</t>
        </is>
      </c>
      <c r="G1488" t="inlineStr">
        <is>
          <t>19.82</t>
        </is>
      </c>
      <c r="H1488" t="n">
        <v>66.83</v>
      </c>
      <c r="I1488" t="inlineStr">
        <is>
          <t>C2</t>
        </is>
      </c>
      <c r="J1488" t="n">
        <v>0</v>
      </c>
      <c r="K1488" t="inlineStr"/>
      <c r="L1488" t="n">
        <v>0.99574</v>
      </c>
      <c r="M1488" t="n">
        <v>0.99574</v>
      </c>
      <c r="N1488" t="inlineStr">
        <is>
          <t>Yes</t>
        </is>
      </c>
      <c r="O1488" t="inlineStr">
        <is>
          <t>equal</t>
        </is>
      </c>
      <c r="P1488" t="inlineStr">
        <is>
          <t>deposited</t>
        </is>
      </c>
      <c r="Q1488" t="inlineStr"/>
      <c r="R1488" t="inlineStr"/>
      <c r="S1488">
        <f>HYPERLINK("https://helical-indexing-hi3d.streamlit.app/?emd_id=emd-5367&amp;rise=19.82&amp;twist=66.83&amp;csym=2&amp;rise2=19.82&amp;twist2=66.83&amp;csym2=2", "Link")</f>
        <v/>
      </c>
    </row>
    <row r="1489">
      <c r="A1489" t="inlineStr">
        <is>
          <t>EMD-5559</t>
        </is>
      </c>
      <c r="B1489" t="inlineStr">
        <is>
          <t>non-amyloid</t>
        </is>
      </c>
      <c r="C1489" t="n">
        <v>15</v>
      </c>
      <c r="D1489" t="inlineStr"/>
      <c r="E1489" t="inlineStr"/>
      <c r="F1489" t="inlineStr"/>
      <c r="G1489" t="inlineStr"/>
      <c r="H1489" t="inlineStr"/>
      <c r="I1489" t="inlineStr">
        <is>
          <t>C1</t>
        </is>
      </c>
      <c r="J1489" t="inlineStr"/>
      <c r="K1489" t="inlineStr"/>
      <c r="L1489" t="inlineStr"/>
      <c r="M1489" t="inlineStr"/>
      <c r="N1489" t="inlineStr">
        <is>
          <t>No</t>
        </is>
      </c>
      <c r="O1489" t="inlineStr"/>
      <c r="P1489" t="inlineStr">
        <is>
          <t>single unit</t>
        </is>
      </c>
      <c r="Q1489" t="inlineStr"/>
      <c r="R1489" t="inlineStr"/>
      <c r="S1489" t="inlineStr"/>
    </row>
    <row r="1490">
      <c r="A1490" t="inlineStr">
        <is>
          <t>EMD-33199</t>
        </is>
      </c>
      <c r="B1490" t="inlineStr">
        <is>
          <t>non-amyloid</t>
        </is>
      </c>
      <c r="C1490" t="n">
        <v>15.2</v>
      </c>
      <c r="D1490" t="n">
        <v>6.35</v>
      </c>
      <c r="E1490" t="n">
        <v>44.55</v>
      </c>
      <c r="F1490" t="inlineStr">
        <is>
          <t>C1</t>
        </is>
      </c>
      <c r="G1490" t="inlineStr">
        <is>
          <t>6.35</t>
        </is>
      </c>
      <c r="H1490" t="n">
        <v>44.55</v>
      </c>
      <c r="I1490" t="inlineStr">
        <is>
          <t>C1</t>
        </is>
      </c>
      <c r="J1490" t="n">
        <v>0</v>
      </c>
      <c r="K1490" t="inlineStr"/>
      <c r="L1490" t="n">
        <v>0.9593699999999999</v>
      </c>
      <c r="M1490" t="n">
        <v>0.9593699999999999</v>
      </c>
      <c r="N1490" t="inlineStr">
        <is>
          <t>Yes</t>
        </is>
      </c>
      <c r="O1490" t="inlineStr">
        <is>
          <t>equal</t>
        </is>
      </c>
      <c r="P1490" t="inlineStr">
        <is>
          <t>deposited</t>
        </is>
      </c>
      <c r="Q1490" t="inlineStr"/>
      <c r="R1490" t="inlineStr"/>
      <c r="S1490">
        <f>HYPERLINK("https://helical-indexing-hi3d.streamlit.app/?emd_id=emd-33199&amp;rise=6.35&amp;twist=44.55&amp;csym=1&amp;rise2=6.35&amp;twist2=44.55&amp;csym2=1", "Link")</f>
        <v/>
      </c>
    </row>
    <row r="1491">
      <c r="A1491" t="inlineStr">
        <is>
          <t>EMD-2609</t>
        </is>
      </c>
      <c r="B1491" t="inlineStr">
        <is>
          <t>microtubule</t>
        </is>
      </c>
      <c r="C1491" t="n">
        <v>15.5</v>
      </c>
      <c r="D1491" t="n">
        <v>5.40237</v>
      </c>
      <c r="E1491" t="n">
        <v>168.08788</v>
      </c>
      <c r="F1491" t="inlineStr">
        <is>
          <t>C1</t>
        </is>
      </c>
      <c r="G1491" t="inlineStr"/>
      <c r="H1491" t="inlineStr"/>
      <c r="I1491" t="inlineStr">
        <is>
          <t>C1</t>
        </is>
      </c>
      <c r="J1491" t="inlineStr"/>
      <c r="K1491" t="inlineStr">
        <is>
          <t> </t>
        </is>
      </c>
      <c r="L1491" t="n">
        <v>0.07562000000000001</v>
      </c>
      <c r="M1491" t="inlineStr"/>
      <c r="N1491" t="inlineStr">
        <is>
          <t>Excluded</t>
        </is>
      </c>
      <c r="O1491" t="inlineStr">
        <is>
          <t>worse</t>
        </is>
      </c>
      <c r="P1491" t="inlineStr">
        <is>
          <t>partial map</t>
        </is>
      </c>
      <c r="Q1491" t="inlineStr"/>
      <c r="R1491" t="inlineStr"/>
      <c r="S1491">
        <f>HYPERLINK("https://helical-indexing-hi3d.streamlit.app/?emd_id=emd-2609&amp;rise=nan&amp;twist=nan&amp;csym=1&amp;rise2=5.40237&amp;twist2=168.08788&amp;csym2=1", "Link")</f>
        <v/>
      </c>
    </row>
    <row r="1492">
      <c r="A1492" t="inlineStr">
        <is>
          <t>EMD-3027</t>
        </is>
      </c>
      <c r="B1492" t="inlineStr">
        <is>
          <t>non-amyloid</t>
        </is>
      </c>
      <c r="C1492" t="n">
        <v>15.5</v>
      </c>
      <c r="D1492" t="n">
        <v>36</v>
      </c>
      <c r="E1492" t="n">
        <v>35.5</v>
      </c>
      <c r="F1492" t="inlineStr">
        <is>
          <t>C5</t>
        </is>
      </c>
      <c r="G1492" t="inlineStr">
        <is>
          <t>36</t>
        </is>
      </c>
      <c r="H1492" t="n">
        <v>35.5</v>
      </c>
      <c r="I1492" t="inlineStr">
        <is>
          <t>C5</t>
        </is>
      </c>
      <c r="J1492" t="n">
        <v>0</v>
      </c>
      <c r="K1492" t="inlineStr"/>
      <c r="L1492" t="n">
        <v>0.99946</v>
      </c>
      <c r="M1492" t="n">
        <v>0.99946</v>
      </c>
      <c r="N1492" t="inlineStr">
        <is>
          <t>Yes</t>
        </is>
      </c>
      <c r="O1492" t="inlineStr">
        <is>
          <t>equal</t>
        </is>
      </c>
      <c r="P1492" t="inlineStr">
        <is>
          <t>deposited</t>
        </is>
      </c>
      <c r="Q1492" t="inlineStr"/>
      <c r="R1492" t="inlineStr"/>
      <c r="S1492">
        <f>HYPERLINK("https://helical-indexing-hi3d.streamlit.app/?emd_id=emd-3027&amp;rise=36&amp;twist=35.5&amp;csym=5&amp;rise2=36.0&amp;twist2=35.5&amp;csym2=5", "Link")</f>
        <v/>
      </c>
    </row>
    <row r="1493">
      <c r="A1493" t="inlineStr">
        <is>
          <t>EMD-5366</t>
        </is>
      </c>
      <c r="B1493" t="inlineStr">
        <is>
          <t>non-amyloid</t>
        </is>
      </c>
      <c r="C1493" t="n">
        <v>16</v>
      </c>
      <c r="D1493" t="n">
        <v>25.54</v>
      </c>
      <c r="E1493" t="n">
        <v>84.70999999999999</v>
      </c>
      <c r="F1493" t="inlineStr">
        <is>
          <t>C2</t>
        </is>
      </c>
      <c r="G1493" t="inlineStr">
        <is>
          <t>25.29740053</t>
        </is>
      </c>
      <c r="H1493" t="n">
        <v>87.33676062000001</v>
      </c>
      <c r="I1493" t="inlineStr">
        <is>
          <t>C2</t>
        </is>
      </c>
      <c r="J1493" t="n">
        <v>0.5715564521539823</v>
      </c>
      <c r="K1493" t="inlineStr"/>
      <c r="L1493" t="n">
        <v>0.82182</v>
      </c>
      <c r="M1493" t="n">
        <v>0.974891363</v>
      </c>
      <c r="N1493" t="inlineStr">
        <is>
          <t>Yes</t>
        </is>
      </c>
      <c r="O1493" t="inlineStr">
        <is>
          <t>improve</t>
        </is>
      </c>
      <c r="P1493" t="inlineStr">
        <is>
          <t>adjusted decimals</t>
        </is>
      </c>
      <c r="Q1493" t="inlineStr"/>
      <c r="R1493" t="inlineStr"/>
      <c r="S1493">
        <f>HYPERLINK("https://helical-indexing-hi3d.streamlit.app/?emd_id=emd-5366&amp;rise=25.29740053&amp;twist=87.33676062&amp;csym=2&amp;rise2=25.54&amp;twist2=84.71&amp;csym2=2", "Link")</f>
        <v/>
      </c>
    </row>
    <row r="1494">
      <c r="A1494" t="inlineStr">
        <is>
          <t>EMD-2007</t>
        </is>
      </c>
      <c r="B1494" t="inlineStr">
        <is>
          <t>non-amyloid</t>
        </is>
      </c>
      <c r="C1494" t="n">
        <v>16</v>
      </c>
      <c r="D1494" t="n">
        <v>25.13</v>
      </c>
      <c r="E1494" t="n">
        <v>83.56999999999999</v>
      </c>
      <c r="F1494" t="inlineStr">
        <is>
          <t>C2</t>
        </is>
      </c>
      <c r="G1494" t="inlineStr">
        <is>
          <t>25.13</t>
        </is>
      </c>
      <c r="H1494" t="n">
        <v>83.56999999999999</v>
      </c>
      <c r="I1494" t="inlineStr">
        <is>
          <t>C2</t>
        </is>
      </c>
      <c r="J1494" t="n">
        <v>0</v>
      </c>
      <c r="K1494" t="inlineStr"/>
      <c r="L1494" t="n">
        <v>0.99555</v>
      </c>
      <c r="M1494" t="n">
        <v>0.99555</v>
      </c>
      <c r="N1494" t="inlineStr">
        <is>
          <t>Yes</t>
        </is>
      </c>
      <c r="O1494" t="inlineStr">
        <is>
          <t>equal</t>
        </is>
      </c>
      <c r="P1494" t="inlineStr">
        <is>
          <t>deposited</t>
        </is>
      </c>
      <c r="Q1494" t="inlineStr"/>
      <c r="R1494" t="inlineStr"/>
      <c r="S1494">
        <f>HYPERLINK("https://helical-indexing-hi3d.streamlit.app/?emd_id=emd-2007&amp;rise=25.13&amp;twist=83.57&amp;csym=2&amp;rise2=25.13&amp;twist2=83.57&amp;csym2=2", "Link")</f>
        <v/>
      </c>
    </row>
    <row r="1495">
      <c r="A1495" t="inlineStr">
        <is>
          <t>EMD-5737</t>
        </is>
      </c>
      <c r="B1495" t="inlineStr">
        <is>
          <t>non-amyloid</t>
        </is>
      </c>
      <c r="C1495" t="n">
        <v>16</v>
      </c>
      <c r="D1495" t="n">
        <v>29.3</v>
      </c>
      <c r="E1495" t="n">
        <v>48</v>
      </c>
      <c r="F1495" t="inlineStr"/>
      <c r="G1495" t="inlineStr">
        <is>
          <t>24.00321689</t>
        </is>
      </c>
      <c r="H1495" t="n">
        <v>47.49758429</v>
      </c>
      <c r="I1495" t="inlineStr">
        <is>
          <t>Cnan</t>
        </is>
      </c>
      <c r="J1495" t="n">
        <v>5.297078705723139</v>
      </c>
      <c r="K1495" t="inlineStr">
        <is>
          <t> </t>
        </is>
      </c>
      <c r="L1495" t="n">
        <v>0.83958</v>
      </c>
      <c r="M1495" t="n">
        <v>0.994814094</v>
      </c>
      <c r="N1495" t="inlineStr">
        <is>
          <t>Yes</t>
        </is>
      </c>
      <c r="O1495" t="inlineStr">
        <is>
          <t>improve</t>
        </is>
      </c>
      <c r="P1495" t="inlineStr">
        <is>
          <t>different</t>
        </is>
      </c>
      <c r="Q1495" t="inlineStr">
        <is>
          <t>check</t>
        </is>
      </c>
      <c r="R1495" t="inlineStr"/>
      <c r="S1495" t="inlineStr"/>
    </row>
    <row r="1496">
      <c r="A1496" t="inlineStr">
        <is>
          <t>EMD-5560</t>
        </is>
      </c>
      <c r="B1496" t="inlineStr">
        <is>
          <t>non-amyloid</t>
        </is>
      </c>
      <c r="C1496" t="n">
        <v>16</v>
      </c>
      <c r="D1496" t="n">
        <v>3.040994</v>
      </c>
      <c r="E1496" t="n">
        <v>58.136646</v>
      </c>
      <c r="F1496" t="inlineStr"/>
      <c r="G1496" t="inlineStr">
        <is>
          <t>3.048348989</t>
        </is>
      </c>
      <c r="H1496" t="n">
        <v>-58.14190304</v>
      </c>
      <c r="I1496" t="inlineStr">
        <is>
          <t>Cnan</t>
        </is>
      </c>
      <c r="J1496" t="n">
        <v>79.95677967768111</v>
      </c>
      <c r="K1496" t="inlineStr">
        <is>
          <t> </t>
        </is>
      </c>
      <c r="L1496" t="n">
        <v>0.29767</v>
      </c>
      <c r="M1496" t="n">
        <v>0.926979294</v>
      </c>
      <c r="N1496" t="inlineStr">
        <is>
          <t>Yes</t>
        </is>
      </c>
      <c r="O1496" t="inlineStr">
        <is>
          <t>improve</t>
        </is>
      </c>
      <c r="P1496" t="inlineStr">
        <is>
          <t>twist sign</t>
        </is>
      </c>
      <c r="Q1496" t="inlineStr"/>
      <c r="R1496" t="inlineStr"/>
      <c r="S1496" t="inlineStr"/>
    </row>
    <row r="1497">
      <c r="A1497" t="inlineStr">
        <is>
          <t>EMD-1416</t>
        </is>
      </c>
      <c r="B1497" t="inlineStr">
        <is>
          <t>non-amyloid</t>
        </is>
      </c>
      <c r="C1497" t="n">
        <v>16</v>
      </c>
      <c r="D1497" t="inlineStr"/>
      <c r="E1497" t="inlineStr"/>
      <c r="F1497" t="inlineStr"/>
      <c r="G1497" t="inlineStr">
        <is>
          <t>4.136839876</t>
        </is>
      </c>
      <c r="H1497" t="n">
        <v>64.11143944</v>
      </c>
      <c r="I1497" t="inlineStr">
        <is>
          <t>Cnan</t>
        </is>
      </c>
      <c r="J1497" t="inlineStr"/>
      <c r="K1497" t="inlineStr">
        <is>
          <t> </t>
        </is>
      </c>
      <c r="L1497" t="inlineStr"/>
      <c r="M1497" t="n">
        <v>0.998044271</v>
      </c>
      <c r="N1497" t="inlineStr">
        <is>
          <t>Yes</t>
        </is>
      </c>
      <c r="O1497" t="inlineStr">
        <is>
          <t>improve</t>
        </is>
      </c>
      <c r="P1497" t="inlineStr">
        <is>
          <t>no EMDB values</t>
        </is>
      </c>
      <c r="Q1497" t="inlineStr"/>
      <c r="R1497" t="inlineStr"/>
      <c r="S1497" t="inlineStr"/>
    </row>
    <row r="1498">
      <c r="A1498" t="inlineStr">
        <is>
          <t>EMD-2400</t>
        </is>
      </c>
      <c r="B1498" t="inlineStr">
        <is>
          <t>non-amyloid</t>
        </is>
      </c>
      <c r="C1498" t="n">
        <v>16</v>
      </c>
      <c r="D1498" t="n">
        <v>8.4</v>
      </c>
      <c r="E1498" t="n">
        <v>67</v>
      </c>
      <c r="F1498" t="inlineStr"/>
      <c r="G1498" t="inlineStr">
        <is>
          <t>8.4</t>
        </is>
      </c>
      <c r="H1498" t="n">
        <v>67</v>
      </c>
      <c r="I1498" t="inlineStr">
        <is>
          <t>Cnan</t>
        </is>
      </c>
      <c r="J1498" t="n">
        <v>0</v>
      </c>
      <c r="K1498" t="inlineStr"/>
      <c r="L1498" t="n">
        <v>0.98582</v>
      </c>
      <c r="M1498" t="n">
        <v>0.98582</v>
      </c>
      <c r="N1498" t="inlineStr">
        <is>
          <t>Yes</t>
        </is>
      </c>
      <c r="O1498" t="inlineStr">
        <is>
          <t>equal</t>
        </is>
      </c>
      <c r="P1498" t="inlineStr">
        <is>
          <t>deposited</t>
        </is>
      </c>
      <c r="Q1498" t="inlineStr"/>
      <c r="R1498" t="inlineStr"/>
      <c r="S1498" t="inlineStr"/>
    </row>
    <row r="1499">
      <c r="A1499" t="inlineStr">
        <is>
          <t>EMD-2270</t>
        </is>
      </c>
      <c r="B1499" t="inlineStr">
        <is>
          <t>non-amyloid</t>
        </is>
      </c>
      <c r="C1499" t="n">
        <v>16</v>
      </c>
      <c r="D1499" t="n">
        <v>6.1</v>
      </c>
      <c r="E1499" t="n">
        <v>67.5</v>
      </c>
      <c r="F1499" t="inlineStr"/>
      <c r="G1499" t="inlineStr">
        <is>
          <t>5.860901373</t>
        </is>
      </c>
      <c r="H1499" t="n">
        <v>-56.25</v>
      </c>
      <c r="I1499" t="inlineStr">
        <is>
          <t>Cnan</t>
        </is>
      </c>
      <c r="J1499" t="n">
        <v>37.39047054292129</v>
      </c>
      <c r="K1499" t="inlineStr">
        <is>
          <t> </t>
        </is>
      </c>
      <c r="L1499" t="n">
        <v>0.97283</v>
      </c>
      <c r="M1499" t="n">
        <v>0.99115548</v>
      </c>
      <c r="N1499" t="inlineStr">
        <is>
          <t>Yes</t>
        </is>
      </c>
      <c r="O1499" t="inlineStr">
        <is>
          <t>improve</t>
        </is>
      </c>
      <c r="P1499" t="inlineStr">
        <is>
          <t>different</t>
        </is>
      </c>
      <c r="Q1499" t="inlineStr">
        <is>
          <t>check</t>
        </is>
      </c>
      <c r="R1499" t="inlineStr"/>
      <c r="S1499" t="inlineStr"/>
    </row>
    <row r="1500">
      <c r="A1500" t="inlineStr">
        <is>
          <t>EMD-5136</t>
        </is>
      </c>
      <c r="B1500" t="inlineStr">
        <is>
          <t>non-amyloid</t>
        </is>
      </c>
      <c r="C1500" t="n">
        <v>16</v>
      </c>
      <c r="D1500" t="inlineStr"/>
      <c r="E1500" t="inlineStr"/>
      <c r="F1500" t="inlineStr"/>
      <c r="G1500" t="inlineStr">
        <is>
          <t>6.796409767</t>
        </is>
      </c>
      <c r="H1500" t="n">
        <v>165.3098214</v>
      </c>
      <c r="I1500" t="inlineStr">
        <is>
          <t>Cnan</t>
        </is>
      </c>
      <c r="J1500" t="inlineStr"/>
      <c r="K1500" t="inlineStr">
        <is>
          <t> </t>
        </is>
      </c>
      <c r="L1500" t="inlineStr"/>
      <c r="M1500" t="n">
        <v>0.9535657239999999</v>
      </c>
      <c r="N1500" t="inlineStr">
        <is>
          <t>Yes</t>
        </is>
      </c>
      <c r="O1500" t="inlineStr">
        <is>
          <t>improve</t>
        </is>
      </c>
      <c r="P1500" t="inlineStr">
        <is>
          <t>no EMDB values</t>
        </is>
      </c>
      <c r="Q1500" t="inlineStr"/>
      <c r="R1500" t="inlineStr"/>
      <c r="S1500" t="inlineStr"/>
    </row>
    <row r="1501">
      <c r="A1501" t="inlineStr">
        <is>
          <t>EMD-6451</t>
        </is>
      </c>
      <c r="B1501" t="inlineStr">
        <is>
          <t>non-amyloid</t>
        </is>
      </c>
      <c r="C1501" t="n">
        <v>16.4</v>
      </c>
      <c r="D1501" t="n">
        <v>27.82</v>
      </c>
      <c r="E1501" t="n">
        <v>166.77</v>
      </c>
      <c r="F1501" t="inlineStr">
        <is>
          <t>C1</t>
        </is>
      </c>
      <c r="G1501" t="inlineStr">
        <is>
          <t>27.70383604</t>
        </is>
      </c>
      <c r="H1501" t="n">
        <v>-166.1770487</v>
      </c>
      <c r="I1501" t="inlineStr">
        <is>
          <t>C1</t>
        </is>
      </c>
      <c r="J1501" t="n">
        <v>3.849838948737092</v>
      </c>
      <c r="K1501" t="inlineStr">
        <is>
          <t> </t>
        </is>
      </c>
      <c r="L1501" t="n">
        <v>0.71162</v>
      </c>
      <c r="M1501" t="n">
        <v>0.993561995</v>
      </c>
      <c r="N1501" t="inlineStr">
        <is>
          <t>Yes</t>
        </is>
      </c>
      <c r="O1501" t="inlineStr">
        <is>
          <t>improve</t>
        </is>
      </c>
      <c r="P1501" t="inlineStr">
        <is>
          <t>twist sign</t>
        </is>
      </c>
      <c r="Q1501" t="inlineStr"/>
      <c r="R1501" t="inlineStr"/>
      <c r="S1501">
        <f>HYPERLINK("https://helical-indexing-hi3d.streamlit.app/?emd_id=emd-6451&amp;rise=27.70383604&amp;twist=-166.1770487&amp;csym=1&amp;rise2=27.82&amp;twist2=166.77&amp;csym2=1", "Link")</f>
        <v/>
      </c>
    </row>
    <row r="1502">
      <c r="A1502" t="inlineStr">
        <is>
          <t>EMD-34879</t>
        </is>
      </c>
      <c r="B1502" t="inlineStr">
        <is>
          <t>non-amyloid</t>
        </is>
      </c>
      <c r="C1502" t="n">
        <v>16.4</v>
      </c>
      <c r="D1502" t="n">
        <v>6.5</v>
      </c>
      <c r="E1502" t="n">
        <v>25.5</v>
      </c>
      <c r="F1502" t="inlineStr">
        <is>
          <t>C1</t>
        </is>
      </c>
      <c r="G1502" t="inlineStr">
        <is>
          <t>6.8</t>
        </is>
      </c>
      <c r="H1502" t="n">
        <v>25.5</v>
      </c>
      <c r="I1502" t="inlineStr">
        <is>
          <t>C4</t>
        </is>
      </c>
      <c r="J1502" t="n">
        <v>0.2999999999999998</v>
      </c>
      <c r="K1502" t="inlineStr"/>
      <c r="L1502" t="n">
        <v>0.81853</v>
      </c>
      <c r="M1502" t="n">
        <v>0.8646102490000001</v>
      </c>
      <c r="N1502" t="inlineStr">
        <is>
          <t>Yes</t>
        </is>
      </c>
      <c r="O1502" t="inlineStr">
        <is>
          <t>improve</t>
        </is>
      </c>
      <c r="P1502" t="inlineStr">
        <is>
          <t>different</t>
        </is>
      </c>
      <c r="Q1502" t="inlineStr">
        <is>
          <t>partial symmetry</t>
        </is>
      </c>
      <c r="R1502" t="inlineStr"/>
      <c r="S1502">
        <f>HYPERLINK("https://helical-indexing-hi3d.streamlit.app/?emd_id=emd-34879&amp;rise=6.8&amp;twist=25.5&amp;csym=4&amp;rise2=6.5&amp;twist2=25.5&amp;csym2=1", "Link")</f>
        <v/>
      </c>
    </row>
    <row r="1503">
      <c r="A1503" t="inlineStr">
        <is>
          <t>EMD-5891</t>
        </is>
      </c>
      <c r="B1503" t="inlineStr">
        <is>
          <t>non-amyloid</t>
        </is>
      </c>
      <c r="C1503" t="n">
        <v>16.4</v>
      </c>
      <c r="D1503" t="n">
        <v>16.9</v>
      </c>
      <c r="E1503" t="n">
        <v>52.9</v>
      </c>
      <c r="F1503" t="inlineStr">
        <is>
          <t>C3</t>
        </is>
      </c>
      <c r="G1503" t="inlineStr">
        <is>
          <t>16.86271829</t>
        </is>
      </c>
      <c r="H1503" t="n">
        <v>-52.76893355</v>
      </c>
      <c r="I1503" t="inlineStr">
        <is>
          <t>C3</t>
        </is>
      </c>
      <c r="J1503" t="n">
        <v>1.118682039951951</v>
      </c>
      <c r="K1503" t="inlineStr">
        <is>
          <t> </t>
        </is>
      </c>
      <c r="L1503" t="n">
        <v>0.6087399999999999</v>
      </c>
      <c r="M1503" t="n">
        <v>0.998924391</v>
      </c>
      <c r="N1503" t="inlineStr">
        <is>
          <t>Yes</t>
        </is>
      </c>
      <c r="O1503" t="inlineStr">
        <is>
          <t>improve</t>
        </is>
      </c>
      <c r="P1503" t="inlineStr">
        <is>
          <t>twist sign</t>
        </is>
      </c>
      <c r="Q1503" t="inlineStr"/>
      <c r="R1503" t="inlineStr"/>
      <c r="S1503">
        <f>HYPERLINK("https://helical-indexing-hi3d.streamlit.app/?emd_id=emd-5891&amp;rise=16.86271829&amp;twist=-52.76893355&amp;csym=3&amp;rise2=16.9&amp;twist2=52.9&amp;csym2=3", "Link")</f>
        <v/>
      </c>
    </row>
    <row r="1504">
      <c r="A1504" t="inlineStr">
        <is>
          <t>EMD-1471</t>
        </is>
      </c>
      <c r="B1504" t="inlineStr">
        <is>
          <t>non-amyloid</t>
        </is>
      </c>
      <c r="C1504" t="n">
        <v>17</v>
      </c>
      <c r="D1504" t="inlineStr"/>
      <c r="E1504" t="inlineStr"/>
      <c r="F1504" t="inlineStr">
        <is>
          <t>C2</t>
        </is>
      </c>
      <c r="G1504" t="inlineStr">
        <is>
          <t>6.36</t>
        </is>
      </c>
      <c r="H1504" t="n">
        <v>40.31</v>
      </c>
      <c r="I1504" t="inlineStr">
        <is>
          <t>C2</t>
        </is>
      </c>
      <c r="J1504" t="inlineStr"/>
      <c r="K1504" t="inlineStr">
        <is>
          <t> </t>
        </is>
      </c>
      <c r="L1504" t="inlineStr"/>
      <c r="M1504" t="n">
        <v>0.948562027</v>
      </c>
      <c r="N1504" t="inlineStr">
        <is>
          <t>Yes</t>
        </is>
      </c>
      <c r="O1504" t="inlineStr">
        <is>
          <t>improve</t>
        </is>
      </c>
      <c r="P1504" t="inlineStr">
        <is>
          <t>no EMDB values</t>
        </is>
      </c>
      <c r="Q1504" t="inlineStr"/>
      <c r="R1504" t="inlineStr"/>
      <c r="S1504">
        <f>HYPERLINK("https://helical-indexing-hi3d.streamlit.app/?emd_id=emd-1471&amp;rise=6.36&amp;twist=40.31&amp;csym=2&amp;rise2=nan&amp;twist2=nan&amp;csym2=2", "Link")</f>
        <v/>
      </c>
    </row>
    <row r="1505">
      <c r="A1505" t="inlineStr">
        <is>
          <t>EMD-2547</t>
        </is>
      </c>
      <c r="B1505" t="inlineStr">
        <is>
          <t>non-amyloid</t>
        </is>
      </c>
      <c r="C1505" t="n">
        <v>17</v>
      </c>
      <c r="D1505" t="n">
        <v>6.7</v>
      </c>
      <c r="E1505" t="n">
        <v>65.90000000000001</v>
      </c>
      <c r="F1505" t="inlineStr">
        <is>
          <t>C1</t>
        </is>
      </c>
      <c r="G1505" t="inlineStr">
        <is>
          <t>6.7</t>
        </is>
      </c>
      <c r="H1505" t="n">
        <v>65.90000000000001</v>
      </c>
      <c r="I1505" t="inlineStr">
        <is>
          <t>C1</t>
        </is>
      </c>
      <c r="J1505" t="n">
        <v>0</v>
      </c>
      <c r="K1505" t="inlineStr"/>
      <c r="L1505" t="n">
        <v>0.98325</v>
      </c>
      <c r="M1505" t="n">
        <v>0.98325</v>
      </c>
      <c r="N1505" t="inlineStr">
        <is>
          <t>Yes</t>
        </is>
      </c>
      <c r="O1505" t="inlineStr">
        <is>
          <t>equal</t>
        </is>
      </c>
      <c r="P1505" t="inlineStr">
        <is>
          <t>deposited</t>
        </is>
      </c>
      <c r="Q1505" t="inlineStr"/>
      <c r="R1505" t="inlineStr"/>
      <c r="S1505">
        <f>HYPERLINK("https://helical-indexing-hi3d.streamlit.app/?emd_id=emd-2547&amp;rise=6.7&amp;twist=65.9&amp;csym=1&amp;rise2=6.7&amp;twist2=65.9&amp;csym2=1", "Link")</f>
        <v/>
      </c>
    </row>
    <row r="1506">
      <c r="A1506" t="inlineStr">
        <is>
          <t>EMD-2398</t>
        </is>
      </c>
      <c r="B1506" t="inlineStr">
        <is>
          <t>non-amyloid</t>
        </is>
      </c>
      <c r="C1506" t="n">
        <v>17</v>
      </c>
      <c r="D1506" t="n">
        <v>9.1</v>
      </c>
      <c r="E1506" t="n">
        <v>66</v>
      </c>
      <c r="F1506" t="inlineStr"/>
      <c r="G1506" t="inlineStr">
        <is>
          <t>8.975340502</t>
        </is>
      </c>
      <c r="H1506" t="n">
        <v>66.26552384</v>
      </c>
      <c r="I1506" t="inlineStr">
        <is>
          <t>C1</t>
        </is>
      </c>
      <c r="J1506" t="n">
        <v>0.1339400836457749</v>
      </c>
      <c r="K1506" t="inlineStr"/>
      <c r="L1506" t="n">
        <v>0.96273</v>
      </c>
      <c r="M1506" t="n">
        <v>0.966983947</v>
      </c>
      <c r="N1506" t="inlineStr">
        <is>
          <t>Yes</t>
        </is>
      </c>
      <c r="O1506" t="inlineStr">
        <is>
          <t>improve</t>
        </is>
      </c>
      <c r="P1506" t="inlineStr">
        <is>
          <t>adjusted decimals</t>
        </is>
      </c>
      <c r="Q1506" t="inlineStr"/>
      <c r="R1506" t="inlineStr"/>
      <c r="S1506" t="inlineStr"/>
    </row>
    <row r="1507">
      <c r="A1507" t="inlineStr">
        <is>
          <t>EMD-1309</t>
        </is>
      </c>
      <c r="B1507" t="inlineStr">
        <is>
          <t>microtubule</t>
        </is>
      </c>
      <c r="C1507" t="n">
        <v>17</v>
      </c>
      <c r="D1507" t="inlineStr"/>
      <c r="E1507" t="inlineStr"/>
      <c r="F1507" t="inlineStr"/>
      <c r="G1507" t="inlineStr">
        <is>
          <t>5.56567998</t>
        </is>
      </c>
      <c r="H1507" t="n">
        <v>168.2129226</v>
      </c>
      <c r="I1507" t="inlineStr">
        <is>
          <t>C1</t>
        </is>
      </c>
      <c r="J1507" t="inlineStr"/>
      <c r="K1507" t="inlineStr">
        <is>
          <t> </t>
        </is>
      </c>
      <c r="L1507" t="inlineStr"/>
      <c r="M1507" t="n">
        <v>0.819399309</v>
      </c>
      <c r="N1507" t="inlineStr">
        <is>
          <t>Yes</t>
        </is>
      </c>
      <c r="O1507" t="inlineStr">
        <is>
          <t>improve</t>
        </is>
      </c>
      <c r="P1507" t="inlineStr">
        <is>
          <t>no EMDB values</t>
        </is>
      </c>
      <c r="Q1507" t="inlineStr"/>
      <c r="R1507" t="inlineStr"/>
      <c r="S1507" t="inlineStr"/>
    </row>
    <row r="1508">
      <c r="A1508" t="inlineStr">
        <is>
          <t>EMD-1493</t>
        </is>
      </c>
      <c r="B1508" t="inlineStr">
        <is>
          <t>non-amyloid</t>
        </is>
      </c>
      <c r="C1508" t="n">
        <v>17</v>
      </c>
      <c r="D1508" t="inlineStr"/>
      <c r="E1508" t="inlineStr"/>
      <c r="F1508" t="inlineStr"/>
      <c r="G1508" t="inlineStr">
        <is>
          <t>12.27843848</t>
        </is>
      </c>
      <c r="H1508" t="n">
        <v>40.56742229</v>
      </c>
      <c r="I1508" t="inlineStr">
        <is>
          <t>C1</t>
        </is>
      </c>
      <c r="J1508" t="inlineStr"/>
      <c r="K1508" t="inlineStr">
        <is>
          <t> </t>
        </is>
      </c>
      <c r="L1508" t="inlineStr"/>
      <c r="M1508" t="n">
        <v>0.998177619</v>
      </c>
      <c r="N1508" t="inlineStr">
        <is>
          <t>Yes</t>
        </is>
      </c>
      <c r="O1508" t="inlineStr">
        <is>
          <t>improve</t>
        </is>
      </c>
      <c r="P1508" t="inlineStr">
        <is>
          <t>no EMDB values</t>
        </is>
      </c>
      <c r="Q1508" t="inlineStr"/>
      <c r="R1508" t="inlineStr"/>
      <c r="S1508" t="inlineStr"/>
    </row>
    <row r="1509">
      <c r="A1509" t="inlineStr">
        <is>
          <t>EMD-1492</t>
        </is>
      </c>
      <c r="B1509" t="inlineStr">
        <is>
          <t>non-amyloid</t>
        </is>
      </c>
      <c r="C1509" t="n">
        <v>17</v>
      </c>
      <c r="D1509" t="inlineStr"/>
      <c r="E1509" t="inlineStr"/>
      <c r="F1509" t="inlineStr"/>
      <c r="G1509" t="inlineStr">
        <is>
          <t>11.53348954</t>
        </is>
      </c>
      <c r="H1509" t="n">
        <v>42.46427589</v>
      </c>
      <c r="I1509" t="inlineStr">
        <is>
          <t>C1</t>
        </is>
      </c>
      <c r="J1509" t="inlineStr"/>
      <c r="K1509" t="inlineStr">
        <is>
          <t> </t>
        </is>
      </c>
      <c r="L1509" t="inlineStr"/>
      <c r="M1509" t="n">
        <v>0.971816051</v>
      </c>
      <c r="N1509" t="inlineStr">
        <is>
          <t>Yes</t>
        </is>
      </c>
      <c r="O1509" t="inlineStr">
        <is>
          <t>improve</t>
        </is>
      </c>
      <c r="P1509" t="inlineStr">
        <is>
          <t>no EMDB values</t>
        </is>
      </c>
      <c r="Q1509" t="inlineStr"/>
      <c r="R1509" t="inlineStr"/>
      <c r="S1509" t="inlineStr"/>
    </row>
    <row r="1510">
      <c r="A1510" t="inlineStr">
        <is>
          <t>EMD-5004</t>
        </is>
      </c>
      <c r="B1510" t="inlineStr">
        <is>
          <t>non-amyloid</t>
        </is>
      </c>
      <c r="C1510" t="n">
        <v>17.5</v>
      </c>
      <c r="D1510" t="inlineStr"/>
      <c r="E1510" t="inlineStr"/>
      <c r="F1510" t="inlineStr"/>
      <c r="G1510" t="inlineStr"/>
      <c r="H1510" t="inlineStr"/>
      <c r="I1510" t="inlineStr">
        <is>
          <t>C1</t>
        </is>
      </c>
      <c r="J1510" t="inlineStr"/>
      <c r="K1510" t="inlineStr"/>
      <c r="L1510" t="inlineStr"/>
      <c r="M1510" t="inlineStr"/>
      <c r="N1510" t="inlineStr">
        <is>
          <t>Excluded</t>
        </is>
      </c>
      <c r="O1510" t="inlineStr"/>
      <c r="P1510" t="inlineStr">
        <is>
          <t>single unit</t>
        </is>
      </c>
      <c r="Q1510" t="inlineStr"/>
      <c r="R1510" t="inlineStr"/>
      <c r="S1510" t="inlineStr"/>
    </row>
    <row r="1511">
      <c r="A1511" t="inlineStr">
        <is>
          <t>EMD-5005</t>
        </is>
      </c>
      <c r="B1511" t="inlineStr">
        <is>
          <t>non-amyloid</t>
        </is>
      </c>
      <c r="C1511" t="n">
        <v>17.5</v>
      </c>
      <c r="D1511" t="inlineStr"/>
      <c r="E1511" t="inlineStr"/>
      <c r="F1511" t="inlineStr"/>
      <c r="G1511" t="inlineStr"/>
      <c r="H1511" t="inlineStr"/>
      <c r="I1511" t="inlineStr">
        <is>
          <t>C1</t>
        </is>
      </c>
      <c r="J1511" t="inlineStr"/>
      <c r="K1511" t="inlineStr"/>
      <c r="L1511" t="inlineStr"/>
      <c r="M1511" t="inlineStr"/>
      <c r="N1511" t="inlineStr">
        <is>
          <t>Excluded</t>
        </is>
      </c>
      <c r="O1511" t="inlineStr"/>
      <c r="P1511" t="inlineStr">
        <is>
          <t>single unit</t>
        </is>
      </c>
      <c r="Q1511" t="inlineStr"/>
      <c r="R1511" t="inlineStr"/>
      <c r="S1511" t="inlineStr"/>
    </row>
    <row r="1512">
      <c r="A1512" t="inlineStr">
        <is>
          <t>EMD-5205</t>
        </is>
      </c>
      <c r="B1512" t="inlineStr">
        <is>
          <t>non-amyloid</t>
        </is>
      </c>
      <c r="C1512" t="n">
        <v>18</v>
      </c>
      <c r="D1512" t="inlineStr"/>
      <c r="E1512" t="inlineStr"/>
      <c r="F1512" t="inlineStr"/>
      <c r="G1512" t="inlineStr">
        <is>
          <t>16.26208567</t>
        </is>
      </c>
      <c r="H1512" t="n">
        <v>-23.60709997</v>
      </c>
      <c r="I1512" t="inlineStr">
        <is>
          <t xml:space="preserve">C1 </t>
        </is>
      </c>
      <c r="J1512" t="inlineStr"/>
      <c r="K1512" t="inlineStr">
        <is>
          <t> </t>
        </is>
      </c>
      <c r="L1512" t="inlineStr"/>
      <c r="M1512" t="n">
        <v>0.908395408</v>
      </c>
      <c r="N1512" t="inlineStr">
        <is>
          <t>Yes</t>
        </is>
      </c>
      <c r="O1512" t="inlineStr">
        <is>
          <t>improve</t>
        </is>
      </c>
      <c r="P1512" t="inlineStr">
        <is>
          <t>no EMDB values</t>
        </is>
      </c>
      <c r="Q1512" t="inlineStr"/>
      <c r="R1512" t="inlineStr"/>
      <c r="S1512" t="inlineStr"/>
    </row>
    <row r="1513">
      <c r="A1513" t="inlineStr">
        <is>
          <t>EMD-1131</t>
        </is>
      </c>
      <c r="B1513" t="inlineStr">
        <is>
          <t>microtubule</t>
        </is>
      </c>
      <c r="C1513" t="n">
        <v>18</v>
      </c>
      <c r="D1513" t="inlineStr"/>
      <c r="E1513" t="inlineStr"/>
      <c r="F1513" t="inlineStr"/>
      <c r="G1513" t="inlineStr">
        <is>
          <t>3.66</t>
        </is>
      </c>
      <c r="H1513" t="n">
        <v>97.26000000000001</v>
      </c>
      <c r="I1513" t="inlineStr">
        <is>
          <t>C1</t>
        </is>
      </c>
      <c r="J1513" t="inlineStr"/>
      <c r="K1513" t="inlineStr">
        <is>
          <t> </t>
        </is>
      </c>
      <c r="L1513" t="inlineStr"/>
      <c r="M1513" t="n">
        <v>0.837038588</v>
      </c>
      <c r="N1513" t="inlineStr">
        <is>
          <t>Yes</t>
        </is>
      </c>
      <c r="O1513" t="inlineStr">
        <is>
          <t>improve</t>
        </is>
      </c>
      <c r="P1513" t="inlineStr">
        <is>
          <t>no EMDB values</t>
        </is>
      </c>
      <c r="Q1513" t="inlineStr"/>
      <c r="R1513" t="inlineStr"/>
      <c r="S1513" t="inlineStr"/>
    </row>
    <row r="1514">
      <c r="A1514" t="inlineStr">
        <is>
          <t>EMD-2395</t>
        </is>
      </c>
      <c r="B1514" t="inlineStr">
        <is>
          <t>non-amyloid</t>
        </is>
      </c>
      <c r="C1514" t="n">
        <v>18</v>
      </c>
      <c r="D1514" t="n">
        <v>9.01</v>
      </c>
      <c r="E1514" t="n">
        <v>66.2</v>
      </c>
      <c r="F1514" t="inlineStr"/>
      <c r="G1514" t="inlineStr">
        <is>
          <t>9.01</t>
        </is>
      </c>
      <c r="H1514" t="n">
        <v>66.2</v>
      </c>
      <c r="I1514" t="inlineStr">
        <is>
          <t>C1</t>
        </is>
      </c>
      <c r="J1514" t="n">
        <v>0</v>
      </c>
      <c r="K1514" t="inlineStr"/>
      <c r="L1514" t="n">
        <v>0.96316</v>
      </c>
      <c r="M1514" t="n">
        <v>0.96316</v>
      </c>
      <c r="N1514" t="inlineStr">
        <is>
          <t>Yes</t>
        </is>
      </c>
      <c r="O1514" t="inlineStr">
        <is>
          <t>equal</t>
        </is>
      </c>
      <c r="P1514" t="inlineStr">
        <is>
          <t>deposited</t>
        </is>
      </c>
      <c r="Q1514" t="inlineStr"/>
      <c r="R1514" t="inlineStr"/>
      <c r="S1514" t="inlineStr"/>
    </row>
    <row r="1515">
      <c r="A1515" t="inlineStr">
        <is>
          <t>EMD-4402</t>
        </is>
      </c>
      <c r="B1515" t="inlineStr">
        <is>
          <t>non-amyloid</t>
        </is>
      </c>
      <c r="C1515" t="n">
        <v>18</v>
      </c>
      <c r="D1515" t="n">
        <v>97.2</v>
      </c>
      <c r="E1515" t="n">
        <v>-15.9</v>
      </c>
      <c r="F1515" t="inlineStr">
        <is>
          <t>C4</t>
        </is>
      </c>
      <c r="G1515" t="inlineStr">
        <is>
          <t>97.2</t>
        </is>
      </c>
      <c r="H1515" t="n">
        <v>-15.9</v>
      </c>
      <c r="I1515" t="inlineStr">
        <is>
          <t>C4</t>
        </is>
      </c>
      <c r="J1515" t="n">
        <v>0</v>
      </c>
      <c r="K1515" t="inlineStr">
        <is>
          <t> </t>
        </is>
      </c>
      <c r="L1515" t="n">
        <v>0.99916</v>
      </c>
      <c r="M1515" t="n">
        <v>0.99916</v>
      </c>
      <c r="N1515" t="inlineStr">
        <is>
          <t>Yes</t>
        </is>
      </c>
      <c r="O1515" t="inlineStr">
        <is>
          <t>equal</t>
        </is>
      </c>
      <c r="P1515" t="inlineStr">
        <is>
          <t>deposited</t>
        </is>
      </c>
      <c r="Q1515" t="inlineStr"/>
      <c r="R1515" t="inlineStr"/>
      <c r="S1515">
        <f>HYPERLINK("https://helical-indexing-hi3d.streamlit.app/?emd_id=emd-4402&amp;rise=97.2&amp;twist=-15.9&amp;csym=4&amp;rise2=97.2&amp;twist2=-15.9&amp;csym2=4", "Link")</f>
        <v/>
      </c>
    </row>
    <row r="1516">
      <c r="A1516" t="inlineStr">
        <is>
          <t>EMD-2157</t>
        </is>
      </c>
      <c r="B1516" t="inlineStr">
        <is>
          <t>non-amyloid</t>
        </is>
      </c>
      <c r="C1516" t="n">
        <v>18</v>
      </c>
      <c r="D1516" t="inlineStr"/>
      <c r="E1516" t="inlineStr"/>
      <c r="F1516" t="inlineStr"/>
      <c r="G1516" t="inlineStr">
        <is>
          <t>9.237406696</t>
        </is>
      </c>
      <c r="H1516" t="n">
        <v>-27.6950308</v>
      </c>
      <c r="I1516" t="inlineStr">
        <is>
          <t>C1</t>
        </is>
      </c>
      <c r="J1516" t="inlineStr"/>
      <c r="K1516" t="inlineStr">
        <is>
          <t> </t>
        </is>
      </c>
      <c r="L1516" t="inlineStr"/>
      <c r="M1516" t="n">
        <v>0.987769309</v>
      </c>
      <c r="N1516" t="inlineStr">
        <is>
          <t>Yes</t>
        </is>
      </c>
      <c r="O1516" t="inlineStr">
        <is>
          <t>improve</t>
        </is>
      </c>
      <c r="P1516" t="inlineStr">
        <is>
          <t>no EMDB values</t>
        </is>
      </c>
      <c r="Q1516" t="inlineStr"/>
      <c r="R1516" t="inlineStr"/>
      <c r="S1516" t="inlineStr"/>
    </row>
    <row r="1517">
      <c r="A1517" t="inlineStr">
        <is>
          <t>EMD-2205</t>
        </is>
      </c>
      <c r="B1517" t="inlineStr">
        <is>
          <t>non-amyloid</t>
        </is>
      </c>
      <c r="C1517" t="n">
        <v>18</v>
      </c>
      <c r="D1517" t="inlineStr"/>
      <c r="E1517" t="inlineStr"/>
      <c r="F1517" t="inlineStr"/>
      <c r="G1517" t="inlineStr">
        <is>
          <t>147.2328763</t>
        </is>
      </c>
      <c r="H1517" t="n">
        <v>60.03649504</v>
      </c>
      <c r="I1517" t="inlineStr">
        <is>
          <t>C1</t>
        </is>
      </c>
      <c r="J1517" t="inlineStr"/>
      <c r="K1517" t="inlineStr">
        <is>
          <t> </t>
        </is>
      </c>
      <c r="L1517" t="inlineStr"/>
      <c r="M1517" t="n">
        <v>0.931681571</v>
      </c>
      <c r="N1517" t="inlineStr">
        <is>
          <t>Yes</t>
        </is>
      </c>
      <c r="O1517" t="inlineStr">
        <is>
          <t>improve</t>
        </is>
      </c>
      <c r="P1517" t="inlineStr">
        <is>
          <t>no EMDB values</t>
        </is>
      </c>
      <c r="Q1517" t="inlineStr"/>
      <c r="R1517" t="inlineStr"/>
      <c r="S1517" t="inlineStr"/>
    </row>
    <row r="1518">
      <c r="A1518" t="inlineStr">
        <is>
          <t>EMD-1428</t>
        </is>
      </c>
      <c r="B1518" t="inlineStr">
        <is>
          <t>non-amyloid</t>
        </is>
      </c>
      <c r="C1518" t="n">
        <v>18</v>
      </c>
      <c r="D1518" t="inlineStr"/>
      <c r="E1518" t="inlineStr"/>
      <c r="F1518" t="inlineStr"/>
      <c r="G1518" t="inlineStr">
        <is>
          <t>5.518220017</t>
        </is>
      </c>
      <c r="H1518" t="n">
        <v>-168.1811436</v>
      </c>
      <c r="I1518" t="inlineStr">
        <is>
          <t>C1</t>
        </is>
      </c>
      <c r="J1518" t="inlineStr"/>
      <c r="K1518" t="inlineStr">
        <is>
          <t> </t>
        </is>
      </c>
      <c r="L1518" t="inlineStr"/>
      <c r="M1518" t="n">
        <v>0.939982266</v>
      </c>
      <c r="N1518" t="inlineStr">
        <is>
          <t>Yes</t>
        </is>
      </c>
      <c r="O1518" t="inlineStr">
        <is>
          <t>improve</t>
        </is>
      </c>
      <c r="P1518" t="inlineStr">
        <is>
          <t>no EMDB values</t>
        </is>
      </c>
      <c r="Q1518" t="inlineStr"/>
      <c r="R1518" t="inlineStr"/>
      <c r="S1518" t="inlineStr"/>
    </row>
    <row r="1519">
      <c r="A1519" t="inlineStr">
        <is>
          <t>EMD-1313</t>
        </is>
      </c>
      <c r="B1519" t="inlineStr">
        <is>
          <t>non-amyloid</t>
        </is>
      </c>
      <c r="C1519" t="n">
        <v>18</v>
      </c>
      <c r="D1519" t="n">
        <v>15.8</v>
      </c>
      <c r="E1519" t="n">
        <v>73.65000000000001</v>
      </c>
      <c r="F1519" t="inlineStr">
        <is>
          <t>D1</t>
        </is>
      </c>
      <c r="G1519" t="inlineStr">
        <is>
          <t>16.0003896</t>
        </is>
      </c>
      <c r="H1519" t="n">
        <v>-74.48659868999999</v>
      </c>
      <c r="I1519" t="inlineStr">
        <is>
          <t>C1</t>
        </is>
      </c>
      <c r="J1519" t="n">
        <v>13.25266128786479</v>
      </c>
      <c r="K1519" t="inlineStr">
        <is>
          <t> </t>
        </is>
      </c>
      <c r="L1519" t="n">
        <v>0.79104</v>
      </c>
      <c r="M1519" t="n">
        <v>0.955771726</v>
      </c>
      <c r="N1519" t="inlineStr">
        <is>
          <t>Yes</t>
        </is>
      </c>
      <c r="O1519" t="inlineStr">
        <is>
          <t>improve</t>
        </is>
      </c>
      <c r="P1519" t="inlineStr">
        <is>
          <t>twist sign</t>
        </is>
      </c>
      <c r="Q1519" t="inlineStr"/>
      <c r="R1519" t="inlineStr"/>
      <c r="S1519">
        <f>HYPERLINK("https://helical-indexing-hi3d.streamlit.app/?emd_id=emd-1313&amp;rise=16.0003896&amp;twist=-74.48659869&amp;csym=1&amp;rise2=15.8&amp;twist2=73.65&amp;csym2=1", "Link")</f>
        <v/>
      </c>
    </row>
    <row r="1520">
      <c r="A1520" t="inlineStr">
        <is>
          <t>EMD-25649</t>
        </is>
      </c>
      <c r="B1520" t="inlineStr">
        <is>
          <t>microtubule</t>
        </is>
      </c>
      <c r="C1520" t="n">
        <v>18</v>
      </c>
      <c r="D1520" t="n">
        <v>33.7</v>
      </c>
      <c r="E1520" t="n">
        <v>32.5</v>
      </c>
      <c r="F1520" t="inlineStr">
        <is>
          <t>C1</t>
        </is>
      </c>
      <c r="G1520" t="inlineStr">
        <is>
          <t>33.7</t>
        </is>
      </c>
      <c r="H1520" t="n">
        <v>32.5</v>
      </c>
      <c r="I1520" t="inlineStr">
        <is>
          <t>C1</t>
        </is>
      </c>
      <c r="J1520" t="n">
        <v>0</v>
      </c>
      <c r="K1520" t="inlineStr"/>
      <c r="L1520" t="n">
        <v>0.96101</v>
      </c>
      <c r="M1520" t="n">
        <v>0.96101</v>
      </c>
      <c r="N1520" t="inlineStr">
        <is>
          <t>Yes</t>
        </is>
      </c>
      <c r="O1520" t="inlineStr">
        <is>
          <t>equal</t>
        </is>
      </c>
      <c r="P1520" t="inlineStr">
        <is>
          <t>deposited</t>
        </is>
      </c>
      <c r="Q1520" t="inlineStr"/>
      <c r="R1520" t="inlineStr"/>
      <c r="S1520">
        <f>HYPERLINK("https://helical-indexing-hi3d.streamlit.app/?emd_id=emd-25649&amp;rise=33.7&amp;twist=32.5&amp;csym=1&amp;rise2=33.7&amp;twist2=32.5&amp;csym2=1", "Link")</f>
        <v/>
      </c>
    </row>
    <row r="1521">
      <c r="A1521" t="inlineStr">
        <is>
          <t>EMD-2630</t>
        </is>
      </c>
      <c r="B1521" t="inlineStr">
        <is>
          <t>non-amyloid</t>
        </is>
      </c>
      <c r="C1521" t="n">
        <v>18.1</v>
      </c>
      <c r="D1521" t="n">
        <v>5.32</v>
      </c>
      <c r="E1521" t="n">
        <v>28.3</v>
      </c>
      <c r="F1521" t="inlineStr">
        <is>
          <t>C1</t>
        </is>
      </c>
      <c r="G1521" t="inlineStr">
        <is>
          <t>5.32</t>
        </is>
      </c>
      <c r="H1521" t="n">
        <v>28.3</v>
      </c>
      <c r="I1521" t="inlineStr">
        <is>
          <t>C1</t>
        </is>
      </c>
      <c r="J1521" t="n">
        <v>0</v>
      </c>
      <c r="K1521" t="inlineStr"/>
      <c r="L1521" t="n">
        <v>0.89159</v>
      </c>
      <c r="M1521" t="n">
        <v>0.89159</v>
      </c>
      <c r="N1521" t="inlineStr">
        <is>
          <t>Yes</t>
        </is>
      </c>
      <c r="O1521" t="inlineStr">
        <is>
          <t>equal</t>
        </is>
      </c>
      <c r="P1521" t="inlineStr">
        <is>
          <t>deposited</t>
        </is>
      </c>
      <c r="Q1521" t="inlineStr"/>
      <c r="R1521" t="inlineStr"/>
      <c r="S1521">
        <f>HYPERLINK("https://helical-indexing-hi3d.streamlit.app/?emd_id=emd-2630&amp;rise=5.32&amp;twist=28.3&amp;csym=1&amp;rise2=5.32&amp;twist2=28.3&amp;csym2=1", "Link")</f>
        <v/>
      </c>
    </row>
    <row r="1522">
      <c r="A1522" t="inlineStr">
        <is>
          <t>EMD-9679</t>
        </is>
      </c>
      <c r="B1522" t="inlineStr">
        <is>
          <t>non-amyloid</t>
        </is>
      </c>
      <c r="C1522" t="n">
        <v>18.2</v>
      </c>
      <c r="D1522" t="n">
        <v>36.8</v>
      </c>
      <c r="E1522" t="n">
        <v>24.2</v>
      </c>
      <c r="F1522" t="inlineStr">
        <is>
          <t>C6</t>
        </is>
      </c>
      <c r="G1522" t="inlineStr">
        <is>
          <t>36.8</t>
        </is>
      </c>
      <c r="H1522" t="n">
        <v>24.2</v>
      </c>
      <c r="I1522" t="inlineStr">
        <is>
          <t>C6</t>
        </is>
      </c>
      <c r="J1522" t="n">
        <v>0</v>
      </c>
      <c r="K1522" t="inlineStr"/>
      <c r="L1522" t="n">
        <v>0.98238</v>
      </c>
      <c r="M1522" t="n">
        <v>0.98238</v>
      </c>
      <c r="N1522" t="inlineStr">
        <is>
          <t>Yes</t>
        </is>
      </c>
      <c r="O1522" t="inlineStr">
        <is>
          <t>equal</t>
        </is>
      </c>
      <c r="P1522" t="inlineStr">
        <is>
          <t>deposited</t>
        </is>
      </c>
      <c r="Q1522" t="inlineStr"/>
      <c r="R1522" t="inlineStr"/>
      <c r="S1522">
        <f>HYPERLINK("https://helical-indexing-hi3d.streamlit.app/?emd_id=emd-9679&amp;rise=36.8&amp;twist=24.2&amp;csym=6&amp;rise2=36.8&amp;twist2=24.2&amp;csym2=6", "Link")</f>
        <v/>
      </c>
    </row>
    <row r="1523">
      <c r="A1523" t="inlineStr">
        <is>
          <t>EMD-6450</t>
        </is>
      </c>
      <c r="B1523" t="inlineStr">
        <is>
          <t>non-amyloid</t>
        </is>
      </c>
      <c r="C1523" t="n">
        <v>19.2</v>
      </c>
      <c r="D1523" t="n">
        <v>27.87</v>
      </c>
      <c r="E1523" t="n">
        <v>166.6</v>
      </c>
      <c r="F1523" t="inlineStr">
        <is>
          <t>C1</t>
        </is>
      </c>
      <c r="G1523" t="inlineStr">
        <is>
          <t>27.87</t>
        </is>
      </c>
      <c r="H1523" t="n">
        <v>-166.6</v>
      </c>
      <c r="I1523" t="inlineStr">
        <is>
          <t>C1</t>
        </is>
      </c>
      <c r="J1523" t="n">
        <v>3.837665032645847</v>
      </c>
      <c r="K1523" t="inlineStr"/>
      <c r="L1523" t="n">
        <v>0.71002</v>
      </c>
      <c r="M1523" t="n">
        <v>0.996210732</v>
      </c>
      <c r="N1523" t="inlineStr">
        <is>
          <t>Yes</t>
        </is>
      </c>
      <c r="O1523" t="inlineStr">
        <is>
          <t>improve</t>
        </is>
      </c>
      <c r="P1523" t="inlineStr">
        <is>
          <t>twist sign</t>
        </is>
      </c>
      <c r="Q1523" t="inlineStr"/>
      <c r="R1523" t="inlineStr"/>
      <c r="S1523">
        <f>HYPERLINK("https://helical-indexing-hi3d.streamlit.app/?emd_id=emd-6450&amp;rise=27.87&amp;twist=-166.6&amp;csym=1&amp;rise2=27.87&amp;twist2=166.6&amp;csym2=1", "Link")</f>
        <v/>
      </c>
    </row>
    <row r="1524">
      <c r="A1524" t="inlineStr">
        <is>
          <t>EMD-2068</t>
        </is>
      </c>
      <c r="B1524" t="inlineStr">
        <is>
          <t>non-amyloid</t>
        </is>
      </c>
      <c r="C1524" t="n">
        <v>19.7</v>
      </c>
      <c r="D1524" t="n">
        <v>42.88</v>
      </c>
      <c r="E1524" t="n">
        <v>13.24</v>
      </c>
      <c r="F1524" t="inlineStr">
        <is>
          <t>D1</t>
        </is>
      </c>
      <c r="G1524" t="inlineStr">
        <is>
          <t>42.88</t>
        </is>
      </c>
      <c r="H1524" t="n">
        <v>13.24</v>
      </c>
      <c r="I1524" t="inlineStr">
        <is>
          <t>C1</t>
        </is>
      </c>
      <c r="J1524" t="n">
        <v>0</v>
      </c>
      <c r="K1524" t="inlineStr">
        <is>
          <t> </t>
        </is>
      </c>
      <c r="L1524" t="n">
        <v>0.99864</v>
      </c>
      <c r="M1524" t="n">
        <v>0.99864</v>
      </c>
      <c r="N1524" t="inlineStr">
        <is>
          <t>Yes</t>
        </is>
      </c>
      <c r="O1524" t="inlineStr">
        <is>
          <t>equal</t>
        </is>
      </c>
      <c r="P1524" t="inlineStr">
        <is>
          <t>deposited</t>
        </is>
      </c>
      <c r="Q1524" t="inlineStr"/>
      <c r="R1524" t="inlineStr"/>
      <c r="S1524">
        <f>HYPERLINK("https://helical-indexing-hi3d.streamlit.app/?emd_id=emd-2068&amp;rise=42.88&amp;twist=13.24&amp;csym=1&amp;rise2=42.88&amp;twist2=13.24&amp;csym2=1", "Link")</f>
        <v/>
      </c>
    </row>
    <row r="1525">
      <c r="A1525" t="inlineStr">
        <is>
          <t>EMD-1441</t>
        </is>
      </c>
      <c r="B1525" t="inlineStr">
        <is>
          <t>non-amyloid</t>
        </is>
      </c>
      <c r="C1525" t="n">
        <v>20</v>
      </c>
      <c r="D1525" t="inlineStr"/>
      <c r="E1525" t="inlineStr"/>
      <c r="F1525" t="inlineStr"/>
      <c r="G1525" t="inlineStr">
        <is>
          <t>5.402879647</t>
        </is>
      </c>
      <c r="H1525" t="n">
        <v>168.1602184</v>
      </c>
      <c r="I1525" t="inlineStr">
        <is>
          <t>C1</t>
        </is>
      </c>
      <c r="J1525" t="inlineStr"/>
      <c r="K1525" t="inlineStr">
        <is>
          <t> </t>
        </is>
      </c>
      <c r="L1525" t="inlineStr"/>
      <c r="M1525" t="n">
        <v>0.95488392</v>
      </c>
      <c r="N1525" t="inlineStr">
        <is>
          <t>Yes</t>
        </is>
      </c>
      <c r="O1525" t="inlineStr">
        <is>
          <t>improve</t>
        </is>
      </c>
      <c r="P1525" t="inlineStr">
        <is>
          <t>no EMDB values</t>
        </is>
      </c>
      <c r="Q1525" t="inlineStr"/>
      <c r="R1525" t="inlineStr"/>
      <c r="S1525" t="inlineStr"/>
    </row>
    <row r="1526">
      <c r="A1526" t="inlineStr">
        <is>
          <t>EMD-3499</t>
        </is>
      </c>
      <c r="B1526" t="inlineStr">
        <is>
          <t>non-amyloid</t>
        </is>
      </c>
      <c r="C1526" t="n">
        <v>20</v>
      </c>
      <c r="D1526" t="n">
        <v>14.5</v>
      </c>
      <c r="E1526" t="n">
        <v>-68.5</v>
      </c>
      <c r="F1526" t="inlineStr">
        <is>
          <t>D2</t>
        </is>
      </c>
      <c r="G1526" t="inlineStr">
        <is>
          <t>13.45139197</t>
        </is>
      </c>
      <c r="H1526" t="n">
        <v>-68.48236664</v>
      </c>
      <c r="I1526" t="inlineStr">
        <is>
          <t>C2</t>
        </is>
      </c>
      <c r="J1526" t="n">
        <v>1.048611708450024</v>
      </c>
      <c r="K1526" t="inlineStr">
        <is>
          <t> </t>
        </is>
      </c>
      <c r="L1526" t="n">
        <v>0.88025</v>
      </c>
      <c r="M1526" t="n">
        <v>0.950165304</v>
      </c>
      <c r="N1526" t="inlineStr">
        <is>
          <t>Yes</t>
        </is>
      </c>
      <c r="O1526" t="inlineStr">
        <is>
          <t>improve</t>
        </is>
      </c>
      <c r="P1526" t="inlineStr">
        <is>
          <t>adjusted decimals</t>
        </is>
      </c>
      <c r="Q1526" t="inlineStr"/>
      <c r="R1526" t="inlineStr"/>
      <c r="S1526">
        <f>HYPERLINK("https://helical-indexing-hi3d.streamlit.app/?emd_id=emd-3499&amp;rise=13.45139197&amp;twist=-68.48236664&amp;csym=2&amp;rise2=14.5&amp;twist2=-68.5&amp;csym2=2", "Link")</f>
        <v/>
      </c>
    </row>
    <row r="1527">
      <c r="A1527" t="inlineStr">
        <is>
          <t>EMD-3500</t>
        </is>
      </c>
      <c r="B1527" t="inlineStr">
        <is>
          <t>non-amyloid</t>
        </is>
      </c>
      <c r="C1527" t="n">
        <v>20</v>
      </c>
      <c r="D1527" t="n">
        <v>14.7</v>
      </c>
      <c r="E1527" t="n">
        <v>-69</v>
      </c>
      <c r="F1527" t="inlineStr">
        <is>
          <t>D2</t>
        </is>
      </c>
      <c r="G1527" t="inlineStr">
        <is>
          <t>14.57694089</t>
        </is>
      </c>
      <c r="H1527" t="n">
        <v>-68.94627332</v>
      </c>
      <c r="I1527" t="inlineStr">
        <is>
          <t>C2</t>
        </is>
      </c>
      <c r="J1527" t="n">
        <v>0.1231432041902837</v>
      </c>
      <c r="K1527" t="inlineStr"/>
      <c r="L1527" t="n">
        <v>0.86668</v>
      </c>
      <c r="M1527" t="n">
        <v>0.997171561</v>
      </c>
      <c r="N1527" t="inlineStr">
        <is>
          <t>Yes</t>
        </is>
      </c>
      <c r="O1527" t="inlineStr">
        <is>
          <t>improve</t>
        </is>
      </c>
      <c r="P1527" t="inlineStr">
        <is>
          <t>adjusted decimals</t>
        </is>
      </c>
      <c r="Q1527" t="inlineStr"/>
      <c r="R1527" t="inlineStr"/>
      <c r="S1527">
        <f>HYPERLINK("https://helical-indexing-hi3d.streamlit.app/?emd_id=emd-3500&amp;rise=14.57694089&amp;twist=-68.94627332&amp;csym=2&amp;rise2=14.7&amp;twist2=-69.0&amp;csym2=2", "Link")</f>
        <v/>
      </c>
    </row>
    <row r="1528">
      <c r="A1528" t="inlineStr">
        <is>
          <t>EMD-1951</t>
        </is>
      </c>
      <c r="B1528" t="inlineStr">
        <is>
          <t>non-amyloid</t>
        </is>
      </c>
      <c r="C1528" t="n">
        <v>20</v>
      </c>
      <c r="D1528" t="n">
        <v>8.699999999999999</v>
      </c>
      <c r="E1528" t="n">
        <v>113</v>
      </c>
      <c r="F1528" t="inlineStr"/>
      <c r="G1528" t="inlineStr">
        <is>
          <t>8.7</t>
        </is>
      </c>
      <c r="H1528" t="n">
        <v>113</v>
      </c>
      <c r="I1528" t="inlineStr">
        <is>
          <t>C1</t>
        </is>
      </c>
      <c r="J1528" t="n">
        <v>0</v>
      </c>
      <c r="K1528" t="inlineStr">
        <is>
          <t> </t>
        </is>
      </c>
      <c r="L1528" t="n">
        <v>0.85694</v>
      </c>
      <c r="M1528" t="n">
        <v>0.85694</v>
      </c>
      <c r="N1528" t="inlineStr">
        <is>
          <t>Yes</t>
        </is>
      </c>
      <c r="O1528" t="inlineStr">
        <is>
          <t>improve</t>
        </is>
      </c>
      <c r="P1528" t="inlineStr">
        <is>
          <t>deposited</t>
        </is>
      </c>
      <c r="Q1528" t="inlineStr"/>
      <c r="R1528" t="inlineStr"/>
      <c r="S1528" t="inlineStr"/>
    </row>
    <row r="1529">
      <c r="A1529" t="inlineStr">
        <is>
          <t>EMD-3501</t>
        </is>
      </c>
      <c r="B1529" t="inlineStr">
        <is>
          <t>non-amyloid</t>
        </is>
      </c>
      <c r="C1529" t="n">
        <v>20</v>
      </c>
      <c r="D1529" t="n">
        <v>15</v>
      </c>
      <c r="E1529" t="n">
        <v>-69.90000000000001</v>
      </c>
      <c r="F1529" t="inlineStr">
        <is>
          <t>D2</t>
        </is>
      </c>
      <c r="G1529" t="inlineStr">
        <is>
          <t>14.8126733</t>
        </is>
      </c>
      <c r="H1529" t="n">
        <v>-69.11525215</v>
      </c>
      <c r="I1529" t="inlineStr">
        <is>
          <t>C2</t>
        </is>
      </c>
      <c r="J1529" t="n">
        <v>0.1932948259382824</v>
      </c>
      <c r="K1529" t="inlineStr"/>
      <c r="L1529" t="n">
        <v>0.85497</v>
      </c>
      <c r="M1529" t="n">
        <v>0.990237555</v>
      </c>
      <c r="N1529" t="inlineStr">
        <is>
          <t>Yes</t>
        </is>
      </c>
      <c r="O1529" t="inlineStr">
        <is>
          <t>improve</t>
        </is>
      </c>
      <c r="P1529" t="inlineStr">
        <is>
          <t>adjusted decimals</t>
        </is>
      </c>
      <c r="Q1529" t="inlineStr"/>
      <c r="R1529" t="inlineStr"/>
      <c r="S1529">
        <f>HYPERLINK("https://helical-indexing-hi3d.streamlit.app/?emd_id=emd-3501&amp;rise=14.8126733&amp;twist=-69.11525215&amp;csym=2&amp;rise2=15.0&amp;twist2=-69.9&amp;csym2=2", "Link")</f>
        <v/>
      </c>
    </row>
    <row r="1530">
      <c r="A1530" t="inlineStr">
        <is>
          <t>EMD-3503</t>
        </is>
      </c>
      <c r="B1530" t="inlineStr">
        <is>
          <t>non-amyloid</t>
        </is>
      </c>
      <c r="C1530" t="n">
        <v>20</v>
      </c>
      <c r="D1530" t="n">
        <v>14.5</v>
      </c>
      <c r="E1530" t="n">
        <v>-69</v>
      </c>
      <c r="F1530" t="inlineStr">
        <is>
          <t>D2</t>
        </is>
      </c>
      <c r="G1530" t="inlineStr">
        <is>
          <t>14.27578701</t>
        </is>
      </c>
      <c r="H1530" t="n">
        <v>-68.90903013</v>
      </c>
      <c r="I1530" t="inlineStr">
        <is>
          <t>C2</t>
        </is>
      </c>
      <c r="J1530" t="n">
        <v>0.2243110657847927</v>
      </c>
      <c r="K1530" t="inlineStr"/>
      <c r="L1530" t="n">
        <v>0.84873</v>
      </c>
      <c r="M1530" t="n">
        <v>0.995940813</v>
      </c>
      <c r="N1530" t="inlineStr">
        <is>
          <t>Yes</t>
        </is>
      </c>
      <c r="O1530" t="inlineStr">
        <is>
          <t>improve</t>
        </is>
      </c>
      <c r="P1530" t="inlineStr">
        <is>
          <t>adjusted decimals</t>
        </is>
      </c>
      <c r="Q1530" t="inlineStr"/>
      <c r="R1530" t="inlineStr"/>
      <c r="S1530">
        <f>HYPERLINK("https://helical-indexing-hi3d.streamlit.app/?emd_id=emd-3503&amp;rise=14.27578701&amp;twist=-68.90903013&amp;csym=2&amp;rise2=14.5&amp;twist2=-69.0&amp;csym2=2", "Link")</f>
        <v/>
      </c>
    </row>
    <row r="1531">
      <c r="A1531" t="inlineStr">
        <is>
          <t>EMD-3504</t>
        </is>
      </c>
      <c r="B1531" t="inlineStr">
        <is>
          <t>non-amyloid</t>
        </is>
      </c>
      <c r="C1531" t="n">
        <v>20</v>
      </c>
      <c r="D1531" t="n">
        <v>14.9</v>
      </c>
      <c r="E1531" t="n">
        <v>-75</v>
      </c>
      <c r="F1531" t="inlineStr">
        <is>
          <t>D2</t>
        </is>
      </c>
      <c r="G1531" t="inlineStr">
        <is>
          <t>18.02185571</t>
        </is>
      </c>
      <c r="H1531" t="n">
        <v>-75.44362891</v>
      </c>
      <c r="I1531" t="inlineStr">
        <is>
          <t>C1</t>
        </is>
      </c>
      <c r="J1531" t="n">
        <v>3.122107273211633</v>
      </c>
      <c r="K1531" t="inlineStr">
        <is>
          <t> </t>
        </is>
      </c>
      <c r="L1531" t="n">
        <v>0.6579</v>
      </c>
      <c r="M1531" t="n">
        <v>0.964215379</v>
      </c>
      <c r="N1531" t="inlineStr">
        <is>
          <t>Yes</t>
        </is>
      </c>
      <c r="O1531" t="inlineStr">
        <is>
          <t>improve</t>
        </is>
      </c>
      <c r="P1531" t="inlineStr">
        <is>
          <t>different</t>
        </is>
      </c>
      <c r="Q1531" t="inlineStr">
        <is>
          <t>check</t>
        </is>
      </c>
      <c r="R1531" t="inlineStr"/>
      <c r="S1531">
        <f>HYPERLINK("https://helical-indexing-hi3d.streamlit.app/?emd_id=emd-3504&amp;rise=18.02185571&amp;twist=-75.44362891&amp;csym=1&amp;rise2=14.9&amp;twist2=-75.0&amp;csym2=2", "Link")</f>
        <v/>
      </c>
    </row>
    <row r="1532">
      <c r="A1532" t="inlineStr">
        <is>
          <t>EMD-4406</t>
        </is>
      </c>
      <c r="B1532" t="inlineStr">
        <is>
          <t>non-amyloid</t>
        </is>
      </c>
      <c r="C1532" t="n">
        <v>20</v>
      </c>
      <c r="D1532" t="n">
        <v>14.52459</v>
      </c>
      <c r="E1532" t="n">
        <v>-65.59083</v>
      </c>
      <c r="F1532" t="inlineStr">
        <is>
          <t>C2</t>
        </is>
      </c>
      <c r="G1532" t="inlineStr">
        <is>
          <t>13.22046639</t>
        </is>
      </c>
      <c r="H1532" t="n">
        <v>-65.60854574</v>
      </c>
      <c r="I1532" t="inlineStr">
        <is>
          <t>C2</t>
        </is>
      </c>
      <c r="J1532" t="n">
        <v>1.304127640730382</v>
      </c>
      <c r="K1532" t="inlineStr">
        <is>
          <t> </t>
        </is>
      </c>
      <c r="L1532" t="n">
        <v>0.88318</v>
      </c>
      <c r="M1532" t="n">
        <v>0.986080373</v>
      </c>
      <c r="N1532" t="inlineStr">
        <is>
          <t>Yes</t>
        </is>
      </c>
      <c r="O1532" t="inlineStr">
        <is>
          <t>improve</t>
        </is>
      </c>
      <c r="P1532" t="inlineStr">
        <is>
          <t>adjusted decimals</t>
        </is>
      </c>
      <c r="Q1532" t="inlineStr"/>
      <c r="R1532" t="inlineStr"/>
      <c r="S1532">
        <f>HYPERLINK("https://helical-indexing-hi3d.streamlit.app/?emd_id=emd-4406&amp;rise=13.22046639&amp;twist=-65.60854574&amp;csym=2&amp;rise2=14.52459&amp;twist2=-65.59083&amp;csym2=2", "Link")</f>
        <v/>
      </c>
    </row>
    <row r="1533">
      <c r="A1533" t="inlineStr">
        <is>
          <t>EMD-5444</t>
        </is>
      </c>
      <c r="B1533" t="inlineStr">
        <is>
          <t>non-amyloid</t>
        </is>
      </c>
      <c r="C1533" t="n">
        <v>20</v>
      </c>
      <c r="D1533" t="n">
        <v>43.6</v>
      </c>
      <c r="E1533" t="n">
        <v>82.7</v>
      </c>
      <c r="F1533" t="inlineStr"/>
      <c r="G1533" t="inlineStr">
        <is>
          <t>44.11216352</t>
        </is>
      </c>
      <c r="H1533" t="n">
        <v>88.38637205000001</v>
      </c>
      <c r="I1533" t="inlineStr">
        <is>
          <t>C1</t>
        </is>
      </c>
      <c r="J1533" t="n">
        <v>0.6519880431432283</v>
      </c>
      <c r="K1533" t="inlineStr"/>
      <c r="L1533" t="n">
        <v>0.87064</v>
      </c>
      <c r="M1533" t="n">
        <v>0.97060758</v>
      </c>
      <c r="N1533" t="inlineStr">
        <is>
          <t>Yes</t>
        </is>
      </c>
      <c r="O1533" t="inlineStr">
        <is>
          <t>improve</t>
        </is>
      </c>
      <c r="P1533" t="inlineStr">
        <is>
          <t>adjusted decimals</t>
        </is>
      </c>
      <c r="Q1533" t="inlineStr"/>
      <c r="R1533" t="inlineStr"/>
      <c r="S1533" t="inlineStr"/>
    </row>
    <row r="1534">
      <c r="A1534" t="inlineStr">
        <is>
          <t>EMD-3505</t>
        </is>
      </c>
      <c r="B1534" t="inlineStr">
        <is>
          <t>non-amyloid</t>
        </is>
      </c>
      <c r="C1534" t="n">
        <v>20</v>
      </c>
      <c r="D1534" t="n">
        <v>14.8</v>
      </c>
      <c r="E1534" t="n">
        <v>-70.59999999999999</v>
      </c>
      <c r="F1534" t="inlineStr">
        <is>
          <t>D2</t>
        </is>
      </c>
      <c r="G1534" t="inlineStr">
        <is>
          <t>15.39</t>
        </is>
      </c>
      <c r="H1534" t="n">
        <v>-70.16929943</v>
      </c>
      <c r="I1534" t="inlineStr">
        <is>
          <t>C2</t>
        </is>
      </c>
      <c r="J1534" t="n">
        <v>0.5945370250513087</v>
      </c>
      <c r="K1534" t="inlineStr"/>
      <c r="L1534" t="n">
        <v>0.82959</v>
      </c>
      <c r="M1534" t="n">
        <v>0.941424252</v>
      </c>
      <c r="N1534" t="inlineStr">
        <is>
          <t>Yes</t>
        </is>
      </c>
      <c r="O1534" t="inlineStr">
        <is>
          <t>improve</t>
        </is>
      </c>
      <c r="P1534" t="inlineStr">
        <is>
          <t>different</t>
        </is>
      </c>
      <c r="Q1534" t="inlineStr">
        <is>
          <t>check</t>
        </is>
      </c>
      <c r="R1534" t="inlineStr"/>
      <c r="S1534">
        <f>HYPERLINK("https://helical-indexing-hi3d.streamlit.app/?emd_id=emd-3505&amp;rise=15.39&amp;twist=-70.16929943&amp;csym=2&amp;rise2=14.8&amp;twist2=-70.6&amp;csym2=2", "Link")</f>
        <v/>
      </c>
    </row>
    <row r="1535">
      <c r="A1535" t="inlineStr">
        <is>
          <t>EMD-4407</t>
        </is>
      </c>
      <c r="B1535" t="inlineStr">
        <is>
          <t>non-amyloid</t>
        </is>
      </c>
      <c r="C1535" t="n">
        <v>20</v>
      </c>
      <c r="D1535" t="n">
        <v>13.02547</v>
      </c>
      <c r="E1535" t="n">
        <v>-61.44494</v>
      </c>
      <c r="F1535" t="inlineStr">
        <is>
          <t>C2</t>
        </is>
      </c>
      <c r="G1535" t="inlineStr">
        <is>
          <t>13.31548047</t>
        </is>
      </c>
      <c r="H1535" t="n">
        <v>-61.95607116</v>
      </c>
      <c r="I1535" t="inlineStr">
        <is>
          <t>C2</t>
        </is>
      </c>
      <c r="J1535" t="n">
        <v>0.2988231598523445</v>
      </c>
      <c r="K1535" t="inlineStr"/>
      <c r="L1535" t="n">
        <v>0.84727</v>
      </c>
      <c r="M1535" t="n">
        <v>0.983238781</v>
      </c>
      <c r="N1535" t="inlineStr">
        <is>
          <t>Yes</t>
        </is>
      </c>
      <c r="O1535" t="inlineStr">
        <is>
          <t>improve</t>
        </is>
      </c>
      <c r="P1535" t="inlineStr">
        <is>
          <t>adjusted decimals</t>
        </is>
      </c>
      <c r="Q1535" t="inlineStr"/>
      <c r="R1535" t="inlineStr"/>
      <c r="S1535">
        <f>HYPERLINK("https://helical-indexing-hi3d.streamlit.app/?emd_id=emd-4407&amp;rise=13.31548047&amp;twist=-61.95607116&amp;csym=2&amp;rise2=13.02547&amp;twist2=-61.44494&amp;csym2=2", "Link")</f>
        <v/>
      </c>
    </row>
    <row r="1536">
      <c r="A1536" t="inlineStr">
        <is>
          <t>EMD-4804</t>
        </is>
      </c>
      <c r="B1536" t="inlineStr">
        <is>
          <t>non-amyloid</t>
        </is>
      </c>
      <c r="C1536" t="n">
        <v>20</v>
      </c>
      <c r="D1536" t="n">
        <v>16</v>
      </c>
      <c r="E1536" t="n">
        <v>-73</v>
      </c>
      <c r="F1536" t="inlineStr">
        <is>
          <t>D2</t>
        </is>
      </c>
      <c r="G1536" t="inlineStr">
        <is>
          <t>16.73456265</t>
        </is>
      </c>
      <c r="H1536" t="n">
        <v>-74.41572489000001</v>
      </c>
      <c r="I1536" t="inlineStr">
        <is>
          <t>C2</t>
        </is>
      </c>
      <c r="J1536" t="n">
        <v>0.7659523358984561</v>
      </c>
      <c r="K1536" t="inlineStr"/>
      <c r="L1536" t="n">
        <v>0.84543</v>
      </c>
      <c r="M1536" t="n">
        <v>0.960448938</v>
      </c>
      <c r="N1536" t="inlineStr">
        <is>
          <t>Yes</t>
        </is>
      </c>
      <c r="O1536" t="inlineStr">
        <is>
          <t>improve</t>
        </is>
      </c>
      <c r="P1536" t="inlineStr">
        <is>
          <t>adjusted decimals</t>
        </is>
      </c>
      <c r="Q1536" t="inlineStr"/>
      <c r="R1536" t="inlineStr"/>
      <c r="S1536">
        <f>HYPERLINK("https://helical-indexing-hi3d.streamlit.app/?emd_id=emd-4804&amp;rise=16.73456265&amp;twist=-74.41572489&amp;csym=2&amp;rise2=16.0&amp;twist2=-73.0&amp;csym2=2", "Link")</f>
        <v/>
      </c>
    </row>
    <row r="1537">
      <c r="A1537" t="inlineStr">
        <is>
          <t>EMD-5729</t>
        </is>
      </c>
      <c r="B1537" t="inlineStr">
        <is>
          <t>non-amyloid</t>
        </is>
      </c>
      <c r="C1537" t="n">
        <v>20</v>
      </c>
      <c r="D1537" t="n">
        <v>5</v>
      </c>
      <c r="E1537" t="n">
        <v>100.9</v>
      </c>
      <c r="F1537" t="inlineStr"/>
      <c r="G1537" t="inlineStr">
        <is>
          <t>4.845774825</t>
        </is>
      </c>
      <c r="H1537" t="n">
        <v>-100.8271966</v>
      </c>
      <c r="I1537" t="inlineStr">
        <is>
          <t>Cnan</t>
        </is>
      </c>
      <c r="J1537" t="n">
        <v>12.31737852667365</v>
      </c>
      <c r="K1537" t="inlineStr">
        <is>
          <t> </t>
        </is>
      </c>
      <c r="L1537" t="n">
        <v>0.71346</v>
      </c>
      <c r="M1537" t="n">
        <v>0.947790695</v>
      </c>
      <c r="N1537" t="inlineStr">
        <is>
          <t>Yes</t>
        </is>
      </c>
      <c r="O1537" t="inlineStr">
        <is>
          <t>improve</t>
        </is>
      </c>
      <c r="P1537" t="inlineStr">
        <is>
          <t>twist sign</t>
        </is>
      </c>
      <c r="Q1537" t="inlineStr"/>
      <c r="R1537" t="inlineStr"/>
      <c r="S1537" t="inlineStr"/>
    </row>
    <row r="1538">
      <c r="A1538" t="inlineStr">
        <is>
          <t>EMD-3497</t>
        </is>
      </c>
      <c r="B1538" t="inlineStr">
        <is>
          <t>non-amyloid</t>
        </is>
      </c>
      <c r="C1538" t="n">
        <v>20</v>
      </c>
      <c r="D1538" t="n">
        <v>16</v>
      </c>
      <c r="E1538" t="n">
        <v>-73.5</v>
      </c>
      <c r="F1538" t="inlineStr">
        <is>
          <t>D2</t>
        </is>
      </c>
      <c r="G1538" t="inlineStr">
        <is>
          <t>16</t>
        </is>
      </c>
      <c r="H1538" t="n">
        <v>-73.5</v>
      </c>
      <c r="I1538" t="inlineStr">
        <is>
          <t>C2</t>
        </is>
      </c>
      <c r="J1538" t="n">
        <v>0</v>
      </c>
      <c r="K1538" t="inlineStr">
        <is>
          <t> </t>
        </is>
      </c>
      <c r="L1538" t="n">
        <v>0.82209</v>
      </c>
      <c r="M1538" t="n">
        <v>0.82209</v>
      </c>
      <c r="N1538" t="inlineStr">
        <is>
          <t>Yes</t>
        </is>
      </c>
      <c r="O1538" t="inlineStr">
        <is>
          <t>equal</t>
        </is>
      </c>
      <c r="P1538" t="inlineStr">
        <is>
          <t>deposited</t>
        </is>
      </c>
      <c r="Q1538" t="inlineStr"/>
      <c r="R1538" t="inlineStr"/>
      <c r="S1538">
        <f>HYPERLINK("https://helical-indexing-hi3d.streamlit.app/?emd_id=emd-3497&amp;rise=16&amp;twist=-73.5&amp;csym=2&amp;rise2=16.0&amp;twist2=-73.5&amp;csym2=2", "Link")</f>
        <v/>
      </c>
    </row>
    <row r="1539">
      <c r="A1539" t="inlineStr">
        <is>
          <t>EMD-3486</t>
        </is>
      </c>
      <c r="B1539" t="inlineStr">
        <is>
          <t>non-amyloid</t>
        </is>
      </c>
      <c r="C1539" t="n">
        <v>20</v>
      </c>
      <c r="D1539" t="n">
        <v>14</v>
      </c>
      <c r="E1539" t="n">
        <v>-67</v>
      </c>
      <c r="F1539" t="inlineStr">
        <is>
          <t>D2</t>
        </is>
      </c>
      <c r="G1539" t="inlineStr">
        <is>
          <t>14</t>
        </is>
      </c>
      <c r="H1539" t="n">
        <v>-67</v>
      </c>
      <c r="I1539" t="inlineStr">
        <is>
          <t>C2</t>
        </is>
      </c>
      <c r="J1539" t="n">
        <v>0</v>
      </c>
      <c r="K1539" t="inlineStr">
        <is>
          <t> </t>
        </is>
      </c>
      <c r="L1539" t="n">
        <v>0.86836</v>
      </c>
      <c r="M1539" t="n">
        <v>0.86836</v>
      </c>
      <c r="N1539" t="inlineStr">
        <is>
          <t>Yes</t>
        </is>
      </c>
      <c r="O1539" t="inlineStr">
        <is>
          <t>equal</t>
        </is>
      </c>
      <c r="P1539" t="inlineStr">
        <is>
          <t>deposited</t>
        </is>
      </c>
      <c r="Q1539" t="inlineStr"/>
      <c r="R1539" t="inlineStr"/>
      <c r="S1539">
        <f>HYPERLINK("https://helical-indexing-hi3d.streamlit.app/?emd_id=emd-3486&amp;rise=14&amp;twist=-67.0&amp;csym=2&amp;rise2=14.0&amp;twist2=-67.0&amp;csym2=2", "Link")</f>
        <v/>
      </c>
    </row>
    <row r="1540">
      <c r="A1540" t="inlineStr">
        <is>
          <t>EMD-1952</t>
        </is>
      </c>
      <c r="B1540" t="inlineStr">
        <is>
          <t>non-amyloid</t>
        </is>
      </c>
      <c r="C1540" t="n">
        <v>20</v>
      </c>
      <c r="D1540" t="n">
        <v>8.6</v>
      </c>
      <c r="E1540" t="n">
        <v>113.1</v>
      </c>
      <c r="F1540" t="inlineStr"/>
      <c r="G1540" t="inlineStr">
        <is>
          <t>8.6</t>
        </is>
      </c>
      <c r="H1540" t="n">
        <v>113.1</v>
      </c>
      <c r="I1540" t="inlineStr">
        <is>
          <t>Cnan</t>
        </is>
      </c>
      <c r="J1540" t="n">
        <v>0</v>
      </c>
      <c r="K1540" t="inlineStr"/>
      <c r="L1540" t="n">
        <v>0.85943</v>
      </c>
      <c r="M1540" t="n">
        <v>0.85943</v>
      </c>
      <c r="N1540" t="inlineStr">
        <is>
          <t>Yes</t>
        </is>
      </c>
      <c r="O1540" t="inlineStr">
        <is>
          <t>equal</t>
        </is>
      </c>
      <c r="P1540" t="inlineStr">
        <is>
          <t>deposited</t>
        </is>
      </c>
      <c r="Q1540" t="inlineStr"/>
      <c r="R1540" t="inlineStr"/>
      <c r="S1540" t="inlineStr"/>
    </row>
    <row r="1541">
      <c r="A1541" t="inlineStr">
        <is>
          <t>EMD-1443</t>
        </is>
      </c>
      <c r="B1541" t="inlineStr">
        <is>
          <t>non-amyloid</t>
        </is>
      </c>
      <c r="C1541" t="n">
        <v>20</v>
      </c>
      <c r="D1541" t="inlineStr"/>
      <c r="E1541" t="inlineStr"/>
      <c r="F1541" t="inlineStr"/>
      <c r="G1541" t="inlineStr">
        <is>
          <t>5.468915464</t>
        </is>
      </c>
      <c r="H1541" t="n">
        <v>168.1974909</v>
      </c>
      <c r="I1541" t="inlineStr">
        <is>
          <t>Cnan</t>
        </is>
      </c>
      <c r="J1541" t="inlineStr"/>
      <c r="K1541" t="inlineStr">
        <is>
          <t> </t>
        </is>
      </c>
      <c r="L1541" t="inlineStr"/>
      <c r="M1541" t="n">
        <v>0.919918616</v>
      </c>
      <c r="N1541" t="inlineStr">
        <is>
          <t>Yes</t>
        </is>
      </c>
      <c r="O1541" t="inlineStr">
        <is>
          <t>improve</t>
        </is>
      </c>
      <c r="P1541" t="inlineStr">
        <is>
          <t>no EMDB values</t>
        </is>
      </c>
      <c r="Q1541" t="inlineStr"/>
      <c r="R1541" t="inlineStr"/>
      <c r="S1541" t="inlineStr"/>
    </row>
    <row r="1542">
      <c r="A1542" t="inlineStr">
        <is>
          <t>EMD-1442</t>
        </is>
      </c>
      <c r="B1542" t="inlineStr">
        <is>
          <t>non-amyloid</t>
        </is>
      </c>
      <c r="C1542" t="n">
        <v>20</v>
      </c>
      <c r="D1542" t="inlineStr"/>
      <c r="E1542" t="inlineStr"/>
      <c r="F1542" t="inlineStr"/>
      <c r="G1542" t="inlineStr">
        <is>
          <t>5.40932382</t>
        </is>
      </c>
      <c r="H1542" t="n">
        <v>168.1618995</v>
      </c>
      <c r="I1542" t="inlineStr">
        <is>
          <t>Cnan</t>
        </is>
      </c>
      <c r="J1542" t="inlineStr"/>
      <c r="K1542" t="inlineStr">
        <is>
          <t> </t>
        </is>
      </c>
      <c r="L1542" t="inlineStr"/>
      <c r="M1542" t="n">
        <v>0.949718876</v>
      </c>
      <c r="N1542" t="inlineStr">
        <is>
          <t>Yes</t>
        </is>
      </c>
      <c r="O1542" t="inlineStr">
        <is>
          <t>improve</t>
        </is>
      </c>
      <c r="P1542" t="inlineStr">
        <is>
          <t>no EMDB values</t>
        </is>
      </c>
      <c r="Q1542" t="inlineStr"/>
      <c r="R1542" t="inlineStr"/>
      <c r="S1542" t="inlineStr"/>
    </row>
    <row r="1543">
      <c r="A1543" t="inlineStr">
        <is>
          <t>EMD-1444</t>
        </is>
      </c>
      <c r="B1543" t="inlineStr">
        <is>
          <t>non-amyloid</t>
        </is>
      </c>
      <c r="C1543" t="n">
        <v>20</v>
      </c>
      <c r="D1543" t="inlineStr"/>
      <c r="E1543" t="inlineStr"/>
      <c r="F1543" t="inlineStr"/>
      <c r="G1543" t="inlineStr">
        <is>
          <t>5.472118499</t>
        </is>
      </c>
      <c r="H1543" t="n">
        <v>168.1886386</v>
      </c>
      <c r="I1543" t="inlineStr">
        <is>
          <t>Cnan</t>
        </is>
      </c>
      <c r="J1543" t="inlineStr"/>
      <c r="K1543" t="inlineStr">
        <is>
          <t> </t>
        </is>
      </c>
      <c r="L1543" t="inlineStr"/>
      <c r="M1543" t="n">
        <v>0.93752391</v>
      </c>
      <c r="N1543" t="inlineStr">
        <is>
          <t>Yes</t>
        </is>
      </c>
      <c r="O1543" t="inlineStr">
        <is>
          <t>improve</t>
        </is>
      </c>
      <c r="P1543" t="inlineStr">
        <is>
          <t>no EMDB values</t>
        </is>
      </c>
      <c r="Q1543" t="inlineStr"/>
      <c r="R1543" t="inlineStr"/>
      <c r="S1543" t="inlineStr"/>
    </row>
    <row r="1544">
      <c r="A1544" t="inlineStr">
        <is>
          <t>EMD-8976</t>
        </is>
      </c>
      <c r="B1544" t="inlineStr">
        <is>
          <t>non-amyloid</t>
        </is>
      </c>
      <c r="C1544" t="n">
        <v>20</v>
      </c>
      <c r="D1544" t="n">
        <v>5</v>
      </c>
      <c r="E1544" t="n">
        <v>-102</v>
      </c>
      <c r="F1544" t="inlineStr">
        <is>
          <t>C1</t>
        </is>
      </c>
      <c r="G1544" t="inlineStr">
        <is>
          <t>5</t>
        </is>
      </c>
      <c r="H1544" t="n">
        <v>-102</v>
      </c>
      <c r="I1544" t="inlineStr">
        <is>
          <t>C1</t>
        </is>
      </c>
      <c r="J1544" t="n">
        <v>0</v>
      </c>
      <c r="K1544" t="inlineStr"/>
      <c r="L1544" t="n">
        <v>0.99973</v>
      </c>
      <c r="M1544" t="n">
        <v>0.99973</v>
      </c>
      <c r="N1544" t="inlineStr">
        <is>
          <t>Yes</t>
        </is>
      </c>
      <c r="O1544" t="inlineStr">
        <is>
          <t>equal</t>
        </is>
      </c>
      <c r="P1544" t="inlineStr">
        <is>
          <t>deposited</t>
        </is>
      </c>
      <c r="Q1544" t="inlineStr"/>
      <c r="R1544" t="inlineStr"/>
      <c r="S1544">
        <f>HYPERLINK("https://helical-indexing-hi3d.streamlit.app/?emd_id=emd-8976&amp;rise=5&amp;twist=-102.0&amp;csym=1&amp;rise2=5.0&amp;twist2=-102.0&amp;csym2=1", "Link")</f>
        <v/>
      </c>
    </row>
    <row r="1545">
      <c r="A1545" t="inlineStr">
        <is>
          <t>EMD-3498</t>
        </is>
      </c>
      <c r="B1545" t="inlineStr">
        <is>
          <t>non-amyloid</t>
        </is>
      </c>
      <c r="C1545" t="n">
        <v>20</v>
      </c>
      <c r="D1545" t="n">
        <v>15</v>
      </c>
      <c r="E1545" t="n">
        <v>-74</v>
      </c>
      <c r="F1545" t="inlineStr">
        <is>
          <t>D2</t>
        </is>
      </c>
      <c r="G1545" t="inlineStr">
        <is>
          <t>75.46909854</t>
        </is>
      </c>
      <c r="H1545" t="n">
        <v>-15.03451297</v>
      </c>
      <c r="I1545" t="inlineStr">
        <is>
          <t>C2</t>
        </is>
      </c>
      <c r="J1545" t="n">
        <v>61.82442231282099</v>
      </c>
      <c r="K1545" t="inlineStr">
        <is>
          <t> </t>
        </is>
      </c>
      <c r="L1545" t="n">
        <v>0.81473</v>
      </c>
      <c r="M1545" t="n">
        <v>0.984322974</v>
      </c>
      <c r="N1545" t="inlineStr">
        <is>
          <t>Yes</t>
        </is>
      </c>
      <c r="O1545" t="inlineStr">
        <is>
          <t>improve</t>
        </is>
      </c>
      <c r="P1545" t="inlineStr">
        <is>
          <t>interchanged values</t>
        </is>
      </c>
      <c r="Q1545" t="inlineStr"/>
      <c r="R1545" t="inlineStr"/>
      <c r="S1545">
        <f>HYPERLINK("https://helical-indexing-hi3d.streamlit.app/?emd_id=emd-3498&amp;rise=75.46909854&amp;twist=-15.03451297&amp;csym=2&amp;rise2=15.0&amp;twist2=-74.0&amp;csym2=2", "Link")</f>
        <v/>
      </c>
    </row>
    <row r="1546">
      <c r="A1546" t="inlineStr">
        <is>
          <t>EMD-1953</t>
        </is>
      </c>
      <c r="B1546" t="inlineStr">
        <is>
          <t>non-amyloid</t>
        </is>
      </c>
      <c r="C1546" t="n">
        <v>20</v>
      </c>
      <c r="D1546" t="n">
        <v>10</v>
      </c>
      <c r="E1546" t="n">
        <v>111.9</v>
      </c>
      <c r="F1546" t="inlineStr"/>
      <c r="G1546" t="inlineStr">
        <is>
          <t>10</t>
        </is>
      </c>
      <c r="H1546" t="n">
        <v>111.9</v>
      </c>
      <c r="I1546" t="inlineStr">
        <is>
          <t>Cnan</t>
        </is>
      </c>
      <c r="J1546" t="n">
        <v>0</v>
      </c>
      <c r="K1546" t="inlineStr">
        <is>
          <t> </t>
        </is>
      </c>
      <c r="L1546" t="n">
        <v>0.8380300000000001</v>
      </c>
      <c r="M1546" t="n">
        <v>0.8380300000000001</v>
      </c>
      <c r="N1546" t="inlineStr">
        <is>
          <t>Yes</t>
        </is>
      </c>
      <c r="O1546" t="inlineStr">
        <is>
          <t>equal</t>
        </is>
      </c>
      <c r="P1546" t="inlineStr">
        <is>
          <t>deposited</t>
        </is>
      </c>
      <c r="Q1546" t="inlineStr"/>
      <c r="R1546" t="inlineStr"/>
      <c r="S1546" t="inlineStr"/>
    </row>
    <row r="1547">
      <c r="A1547" t="inlineStr">
        <is>
          <t>EMD-1950</t>
        </is>
      </c>
      <c r="B1547" t="inlineStr">
        <is>
          <t>non-amyloid</t>
        </is>
      </c>
      <c r="C1547" t="n">
        <v>20</v>
      </c>
      <c r="D1547" t="n">
        <v>100</v>
      </c>
      <c r="E1547" t="n">
        <v>30</v>
      </c>
      <c r="F1547" t="inlineStr">
        <is>
          <t>C4</t>
        </is>
      </c>
      <c r="G1547" t="inlineStr">
        <is>
          <t>142.01</t>
        </is>
      </c>
      <c r="H1547" t="n">
        <v>30.54</v>
      </c>
      <c r="I1547" t="inlineStr">
        <is>
          <t>C4</t>
        </is>
      </c>
      <c r="J1547" t="n">
        <v>42.01125627934214</v>
      </c>
      <c r="K1547" t="inlineStr">
        <is>
          <t> </t>
        </is>
      </c>
      <c r="L1547" t="n">
        <v>0.63889</v>
      </c>
      <c r="M1547" t="n">
        <v>0.969070871</v>
      </c>
      <c r="N1547" t="inlineStr">
        <is>
          <t>Yes</t>
        </is>
      </c>
      <c r="O1547" t="inlineStr">
        <is>
          <t>improve</t>
        </is>
      </c>
      <c r="P1547" t="inlineStr">
        <is>
          <t>different</t>
        </is>
      </c>
      <c r="Q1547" t="inlineStr">
        <is>
          <t>check</t>
        </is>
      </c>
      <c r="R1547" t="inlineStr"/>
      <c r="S1547">
        <f>HYPERLINK("https://helical-indexing-hi3d.streamlit.app/?emd_id=emd-1950&amp;rise=142.01&amp;twist=30.54&amp;csym=4&amp;rise2=100.0&amp;twist2=30.0&amp;csym2=4", "Link")</f>
        <v/>
      </c>
    </row>
    <row r="1548">
      <c r="A1548" t="inlineStr">
        <is>
          <t>EMD-3496</t>
        </is>
      </c>
      <c r="B1548" t="inlineStr">
        <is>
          <t>non-amyloid</t>
        </is>
      </c>
      <c r="C1548" t="n">
        <v>20</v>
      </c>
      <c r="D1548" t="n">
        <v>15.5</v>
      </c>
      <c r="E1548" t="n">
        <v>-66</v>
      </c>
      <c r="F1548" t="inlineStr">
        <is>
          <t>D2</t>
        </is>
      </c>
      <c r="G1548" t="inlineStr">
        <is>
          <t>15.5</t>
        </is>
      </c>
      <c r="H1548" t="n">
        <v>-66</v>
      </c>
      <c r="I1548" t="inlineStr">
        <is>
          <t>C1</t>
        </is>
      </c>
      <c r="J1548" t="n">
        <v>0</v>
      </c>
      <c r="K1548" t="inlineStr">
        <is>
          <t> </t>
        </is>
      </c>
      <c r="L1548" t="n">
        <v>0.81594</v>
      </c>
      <c r="M1548" t="n">
        <v>0.9262628899999999</v>
      </c>
      <c r="N1548" t="inlineStr">
        <is>
          <t>Yes</t>
        </is>
      </c>
      <c r="O1548" t="inlineStr">
        <is>
          <t>improve</t>
        </is>
      </c>
      <c r="P1548" t="inlineStr">
        <is>
          <t>deposited</t>
        </is>
      </c>
      <c r="Q1548" t="inlineStr"/>
      <c r="R1548" t="inlineStr"/>
      <c r="S1548">
        <f>HYPERLINK("https://helical-indexing-hi3d.streamlit.app/?emd_id=emd-3496&amp;rise=15.5&amp;twist=-66.0&amp;csym=1&amp;rise2=15.5&amp;twist2=-66.0&amp;csym2=2", "Link")</f>
        <v/>
      </c>
    </row>
    <row r="1549">
      <c r="A1549" t="inlineStr">
        <is>
          <t>EMD-1469</t>
        </is>
      </c>
      <c r="B1549" t="inlineStr">
        <is>
          <t>non-amyloid</t>
        </is>
      </c>
      <c r="C1549" t="n">
        <v>20</v>
      </c>
      <c r="D1549" t="n">
        <v>65.12</v>
      </c>
      <c r="E1549" t="n">
        <v>7.56</v>
      </c>
      <c r="F1549" t="inlineStr">
        <is>
          <t>D11</t>
        </is>
      </c>
      <c r="G1549" t="inlineStr">
        <is>
          <t>66.05095223</t>
        </is>
      </c>
      <c r="H1549" t="n">
        <v>-6.910584923</v>
      </c>
      <c r="I1549" t="inlineStr">
        <is>
          <t>C11</t>
        </is>
      </c>
      <c r="J1549" t="n">
        <v>2.356834709</v>
      </c>
      <c r="K1549" t="inlineStr">
        <is>
          <t> </t>
        </is>
      </c>
      <c r="L1549" t="n">
        <v>0.90878</v>
      </c>
      <c r="M1549" t="n">
        <v>0.982253073</v>
      </c>
      <c r="N1549" t="inlineStr">
        <is>
          <t>Yes</t>
        </is>
      </c>
      <c r="O1549" t="inlineStr">
        <is>
          <t>improve</t>
        </is>
      </c>
      <c r="P1549" t="inlineStr">
        <is>
          <t>twist sign</t>
        </is>
      </c>
      <c r="Q1549" t="inlineStr"/>
      <c r="R1549" t="inlineStr"/>
      <c r="S1549">
        <f>HYPERLINK("https://helical-indexing-hi3d.streamlit.app/?emd_id=emd-1469&amp;rise=66.05095223&amp;twist=-6.910584923&amp;csym=11&amp;rise2=65.12&amp;twist2=7.56&amp;csym2=11", "Link")</f>
        <v/>
      </c>
    </row>
    <row r="1550">
      <c r="A1550" t="inlineStr">
        <is>
          <t>EMD-2339</t>
        </is>
      </c>
      <c r="B1550" t="inlineStr">
        <is>
          <t>non-amyloid</t>
        </is>
      </c>
      <c r="C1550" t="n">
        <v>20</v>
      </c>
      <c r="D1550" t="n">
        <v>14.67</v>
      </c>
      <c r="E1550" t="n">
        <v>110.09</v>
      </c>
      <c r="F1550" t="inlineStr"/>
      <c r="G1550" t="inlineStr">
        <is>
          <t>14.75621859</t>
        </is>
      </c>
      <c r="H1550" t="n">
        <v>109.9366668</v>
      </c>
      <c r="I1550" t="inlineStr">
        <is>
          <t>C1</t>
        </is>
      </c>
      <c r="J1550" t="n">
        <v>0.08665276399999999</v>
      </c>
      <c r="K1550" t="inlineStr"/>
      <c r="L1550" t="n">
        <v>0.99498</v>
      </c>
      <c r="M1550" t="n">
        <v>0.996532548</v>
      </c>
      <c r="N1550" t="inlineStr">
        <is>
          <t>Yes</t>
        </is>
      </c>
      <c r="O1550" t="inlineStr">
        <is>
          <t>improve</t>
        </is>
      </c>
      <c r="P1550" t="inlineStr">
        <is>
          <t>adjusted decimals</t>
        </is>
      </c>
      <c r="Q1550" t="inlineStr"/>
      <c r="R1550" t="inlineStr"/>
      <c r="S1550" t="inlineStr"/>
    </row>
    <row r="1551">
      <c r="A1551" t="inlineStr">
        <is>
          <t>EMD-2018</t>
        </is>
      </c>
      <c r="B1551" t="inlineStr">
        <is>
          <t>non-amyloid</t>
        </is>
      </c>
      <c r="C1551" t="n">
        <v>21</v>
      </c>
      <c r="D1551" t="inlineStr"/>
      <c r="E1551" t="inlineStr"/>
      <c r="F1551" t="inlineStr"/>
      <c r="G1551" t="inlineStr">
        <is>
          <t>8.621376738</t>
        </is>
      </c>
      <c r="H1551" t="n">
        <v>69.00071128</v>
      </c>
      <c r="I1551" t="inlineStr">
        <is>
          <t>C1</t>
        </is>
      </c>
      <c r="J1551" t="inlineStr"/>
      <c r="K1551" t="inlineStr">
        <is>
          <t> </t>
        </is>
      </c>
      <c r="L1551" t="inlineStr"/>
      <c r="M1551" t="n">
        <v>0.984702867</v>
      </c>
      <c r="N1551" t="inlineStr">
        <is>
          <t>Yes</t>
        </is>
      </c>
      <c r="O1551" t="inlineStr">
        <is>
          <t>improve</t>
        </is>
      </c>
      <c r="P1551" t="inlineStr">
        <is>
          <t>no EMDB values</t>
        </is>
      </c>
      <c r="Q1551" t="inlineStr"/>
      <c r="R1551" t="inlineStr"/>
      <c r="S1551" t="inlineStr"/>
    </row>
    <row r="1552">
      <c r="A1552" t="inlineStr">
        <is>
          <t>EMD-2209</t>
        </is>
      </c>
      <c r="B1552" t="inlineStr">
        <is>
          <t>non-amyloid</t>
        </is>
      </c>
      <c r="C1552" t="n">
        <v>21</v>
      </c>
      <c r="D1552" t="inlineStr"/>
      <c r="E1552" t="inlineStr"/>
      <c r="F1552" t="inlineStr"/>
      <c r="G1552" t="inlineStr">
        <is>
          <t>29.87823132</t>
        </is>
      </c>
      <c r="H1552" t="n">
        <v>70.70663767000001</v>
      </c>
      <c r="I1552" t="inlineStr">
        <is>
          <t>C1</t>
        </is>
      </c>
      <c r="J1552" t="inlineStr"/>
      <c r="K1552" t="inlineStr">
        <is>
          <t> </t>
        </is>
      </c>
      <c r="L1552" t="inlineStr"/>
      <c r="M1552" t="n">
        <v>0.984134519</v>
      </c>
      <c r="N1552" t="inlineStr">
        <is>
          <t>Yes</t>
        </is>
      </c>
      <c r="O1552" t="inlineStr">
        <is>
          <t>improve</t>
        </is>
      </c>
      <c r="P1552" t="inlineStr">
        <is>
          <t>no EMDB values</t>
        </is>
      </c>
      <c r="Q1552" t="inlineStr"/>
      <c r="R1552" t="inlineStr"/>
      <c r="S1552" t="inlineStr"/>
    </row>
    <row r="1553">
      <c r="A1553" t="inlineStr">
        <is>
          <t>EMD-1954</t>
        </is>
      </c>
      <c r="B1553" t="inlineStr">
        <is>
          <t>non-amyloid</t>
        </is>
      </c>
      <c r="C1553" t="n">
        <v>21</v>
      </c>
      <c r="D1553" t="n">
        <v>8.5</v>
      </c>
      <c r="E1553" t="n">
        <v>96.8</v>
      </c>
      <c r="F1553" t="inlineStr"/>
      <c r="G1553" t="inlineStr">
        <is>
          <t>8.5</t>
        </is>
      </c>
      <c r="H1553" t="n">
        <v>96.8</v>
      </c>
      <c r="I1553" t="inlineStr">
        <is>
          <t>Cnan</t>
        </is>
      </c>
      <c r="J1553" t="n">
        <v>0</v>
      </c>
      <c r="K1553" t="inlineStr"/>
      <c r="L1553" t="n">
        <v>0.99664</v>
      </c>
      <c r="M1553" t="n">
        <v>0.99664</v>
      </c>
      <c r="N1553" t="inlineStr">
        <is>
          <t>Yes</t>
        </is>
      </c>
      <c r="O1553" t="inlineStr">
        <is>
          <t>equal</t>
        </is>
      </c>
      <c r="P1553" t="inlineStr">
        <is>
          <t>deposited</t>
        </is>
      </c>
      <c r="Q1553" t="inlineStr"/>
      <c r="R1553" t="inlineStr"/>
      <c r="S1553" t="inlineStr"/>
    </row>
    <row r="1554">
      <c r="A1554" t="inlineStr">
        <is>
          <t>EMD-6936</t>
        </is>
      </c>
      <c r="B1554" t="inlineStr">
        <is>
          <t>non-amyloid</t>
        </is>
      </c>
      <c r="C1554" t="n">
        <v>21</v>
      </c>
      <c r="D1554" t="n">
        <v>34.74</v>
      </c>
      <c r="E1554" t="n">
        <v>11.25</v>
      </c>
      <c r="F1554" t="inlineStr">
        <is>
          <t>C12</t>
        </is>
      </c>
      <c r="G1554" t="inlineStr">
        <is>
          <t>34.74</t>
        </is>
      </c>
      <c r="H1554" t="n">
        <v>11.25</v>
      </c>
      <c r="I1554" t="inlineStr">
        <is>
          <t>C12</t>
        </is>
      </c>
      <c r="J1554" t="n">
        <v>0</v>
      </c>
      <c r="K1554" t="inlineStr"/>
      <c r="L1554" t="n">
        <v>0.960828523</v>
      </c>
      <c r="M1554" t="n">
        <v>0.960828523</v>
      </c>
      <c r="N1554" t="inlineStr">
        <is>
          <t>Yes</t>
        </is>
      </c>
      <c r="O1554" t="inlineStr">
        <is>
          <t>equal</t>
        </is>
      </c>
      <c r="P1554" t="inlineStr">
        <is>
          <t>deposited</t>
        </is>
      </c>
      <c r="Q1554" t="inlineStr"/>
      <c r="R1554" t="inlineStr"/>
      <c r="S1554">
        <f>HYPERLINK("https://helical-indexing-hi3d.streamlit.app/?emd_id=emd-6936&amp;rise=34.74&amp;twist=11.25&amp;csym=12&amp;rise2=34.74&amp;twist2=11.25&amp;csym2=12", "Link")</f>
        <v/>
      </c>
    </row>
    <row r="1555">
      <c r="A1555" t="inlineStr">
        <is>
          <t>EMD-8404</t>
        </is>
      </c>
      <c r="B1555" t="inlineStr">
        <is>
          <t>non-amyloid</t>
        </is>
      </c>
      <c r="C1555" t="n">
        <v>22</v>
      </c>
      <c r="D1555" t="n">
        <v>6.33573</v>
      </c>
      <c r="E1555" t="n">
        <v>-129.20547</v>
      </c>
      <c r="F1555" t="inlineStr">
        <is>
          <t>C1</t>
        </is>
      </c>
      <c r="G1555" t="inlineStr">
        <is>
          <t>6.33573</t>
        </is>
      </c>
      <c r="H1555" t="n">
        <v>-129.20547</v>
      </c>
      <c r="I1555" t="inlineStr">
        <is>
          <t>C1</t>
        </is>
      </c>
      <c r="J1555" t="n">
        <v>0</v>
      </c>
      <c r="K1555" t="inlineStr"/>
      <c r="L1555" t="n">
        <v>0.99884</v>
      </c>
      <c r="M1555" t="n">
        <v>0.99884</v>
      </c>
      <c r="N1555" t="inlineStr">
        <is>
          <t>Yes</t>
        </is>
      </c>
      <c r="O1555" t="inlineStr">
        <is>
          <t>equal</t>
        </is>
      </c>
      <c r="P1555" t="inlineStr">
        <is>
          <t>deposited</t>
        </is>
      </c>
      <c r="Q1555" t="inlineStr"/>
      <c r="R1555" t="inlineStr"/>
      <c r="S1555">
        <f>HYPERLINK("https://helical-indexing-hi3d.streamlit.app/?emd_id=emd-8404&amp;rise=6.33573&amp;twist=-129.20547&amp;csym=1&amp;rise2=6.33573&amp;twist2=-129.20547&amp;csym2=1", "Link")</f>
        <v/>
      </c>
    </row>
    <row r="1556">
      <c r="A1556" t="inlineStr">
        <is>
          <t>EMD-5463</t>
        </is>
      </c>
      <c r="B1556" t="inlineStr">
        <is>
          <t>non-amyloid</t>
        </is>
      </c>
      <c r="C1556" t="n">
        <v>22</v>
      </c>
      <c r="D1556" t="inlineStr"/>
      <c r="E1556" t="inlineStr"/>
      <c r="F1556" t="inlineStr"/>
      <c r="G1556" t="inlineStr">
        <is>
          <t>20.93782072</t>
        </is>
      </c>
      <c r="H1556" t="n">
        <v>-27.67390467</v>
      </c>
      <c r="I1556" t="inlineStr">
        <is>
          <t>Cnan</t>
        </is>
      </c>
      <c r="J1556" t="inlineStr"/>
      <c r="K1556" t="inlineStr">
        <is>
          <t> </t>
        </is>
      </c>
      <c r="L1556" t="inlineStr"/>
      <c r="M1556" t="n">
        <v>0.9668504449999999</v>
      </c>
      <c r="N1556" t="inlineStr">
        <is>
          <t>Yes</t>
        </is>
      </c>
      <c r="O1556" t="inlineStr">
        <is>
          <t>improve</t>
        </is>
      </c>
      <c r="P1556" t="inlineStr">
        <is>
          <t>no EMDB values</t>
        </is>
      </c>
      <c r="Q1556" t="inlineStr"/>
      <c r="R1556" t="inlineStr"/>
      <c r="S1556" t="inlineStr"/>
    </row>
    <row r="1557">
      <c r="A1557" t="inlineStr">
        <is>
          <t>EMD-5416</t>
        </is>
      </c>
      <c r="B1557" t="inlineStr">
        <is>
          <t>microtubule</t>
        </is>
      </c>
      <c r="C1557" t="n">
        <v>22</v>
      </c>
      <c r="D1557" t="n">
        <v>10.666</v>
      </c>
      <c r="E1557" t="n">
        <v>24</v>
      </c>
      <c r="F1557" t="inlineStr">
        <is>
          <t>C1</t>
        </is>
      </c>
      <c r="G1557" t="inlineStr">
        <is>
          <t>5.912865691</t>
        </is>
      </c>
      <c r="H1557" t="n">
        <v>168.1273279</v>
      </c>
      <c r="I1557" t="inlineStr">
        <is>
          <t>C1</t>
        </is>
      </c>
      <c r="J1557" t="n">
        <v>14.2728607748162</v>
      </c>
      <c r="K1557" t="inlineStr"/>
      <c r="L1557" t="n">
        <v>0.62673</v>
      </c>
      <c r="M1557" t="n">
        <v>0.970716935</v>
      </c>
      <c r="N1557" t="inlineStr">
        <is>
          <t>Yes</t>
        </is>
      </c>
      <c r="O1557" t="inlineStr">
        <is>
          <t>improve</t>
        </is>
      </c>
      <c r="P1557" t="inlineStr">
        <is>
          <t>different</t>
        </is>
      </c>
      <c r="Q1557" t="inlineStr">
        <is>
          <t>partial symmetry</t>
        </is>
      </c>
      <c r="R1557" t="inlineStr">
        <is>
          <t>twist sign</t>
        </is>
      </c>
      <c r="S1557">
        <f>HYPERLINK("https://helical-indexing-hi3d.streamlit.app/?emd_id=emd-5416&amp;rise=5.912865691&amp;twist=168.1273279&amp;csym=1&amp;rise2=10.666&amp;twist2=24.0&amp;csym2=1", "Link")</f>
        <v/>
      </c>
    </row>
    <row r="1558">
      <c r="A1558" t="inlineStr">
        <is>
          <t>EMD-2151</t>
        </is>
      </c>
      <c r="B1558" t="inlineStr">
        <is>
          <t>non-amyloid</t>
        </is>
      </c>
      <c r="C1558" t="n">
        <v>22.4</v>
      </c>
      <c r="D1558" t="n">
        <v>6.03</v>
      </c>
      <c r="E1558" t="n">
        <v>11.9</v>
      </c>
      <c r="F1558" t="inlineStr">
        <is>
          <t>C6</t>
        </is>
      </c>
      <c r="G1558" t="inlineStr">
        <is>
          <t>6.03</t>
        </is>
      </c>
      <c r="H1558" t="n">
        <v>11.9</v>
      </c>
      <c r="I1558" t="inlineStr">
        <is>
          <t>C6</t>
        </is>
      </c>
      <c r="J1558" t="n">
        <v>0</v>
      </c>
      <c r="K1558" t="inlineStr"/>
      <c r="L1558" t="n">
        <v>0.99287</v>
      </c>
      <c r="M1558" t="n">
        <v>0.99287</v>
      </c>
      <c r="N1558" t="inlineStr">
        <is>
          <t>Yes</t>
        </is>
      </c>
      <c r="O1558" t="inlineStr">
        <is>
          <t>equal</t>
        </is>
      </c>
      <c r="P1558" t="inlineStr">
        <is>
          <t>deposited</t>
        </is>
      </c>
      <c r="Q1558" t="inlineStr"/>
      <c r="R1558" t="inlineStr"/>
      <c r="S1558">
        <f>HYPERLINK("https://helical-indexing-hi3d.streamlit.app/?emd_id=emd-2151&amp;rise=6.03&amp;twist=11.9&amp;csym=6&amp;rise2=6.03&amp;twist2=11.9&amp;csym2=6", "Link")</f>
        <v/>
      </c>
    </row>
    <row r="1559">
      <c r="A1559" t="inlineStr">
        <is>
          <t>EMD-6370</t>
        </is>
      </c>
      <c r="B1559" t="inlineStr">
        <is>
          <t>non-amyloid</t>
        </is>
      </c>
      <c r="C1559" t="n">
        <v>23</v>
      </c>
      <c r="D1559" t="n">
        <v>145</v>
      </c>
      <c r="E1559" t="n">
        <v>30</v>
      </c>
      <c r="F1559" t="inlineStr">
        <is>
          <t>C4</t>
        </is>
      </c>
      <c r="G1559" t="inlineStr">
        <is>
          <t>144.0241902</t>
        </is>
      </c>
      <c r="H1559" t="n">
        <v>30.91321488</v>
      </c>
      <c r="I1559" t="inlineStr">
        <is>
          <t>C4</t>
        </is>
      </c>
      <c r="J1559" t="n">
        <v>0.9986567113833644</v>
      </c>
      <c r="K1559" t="inlineStr"/>
      <c r="L1559" t="n">
        <v>0.98744</v>
      </c>
      <c r="M1559" t="n">
        <v>0.9902033609999999</v>
      </c>
      <c r="N1559" t="inlineStr">
        <is>
          <t>Yes</t>
        </is>
      </c>
      <c r="O1559" t="inlineStr">
        <is>
          <t>improve</t>
        </is>
      </c>
      <c r="P1559" t="inlineStr">
        <is>
          <t>adjusted decimals</t>
        </is>
      </c>
      <c r="Q1559" t="inlineStr"/>
      <c r="R1559" t="inlineStr"/>
      <c r="S1559">
        <f>HYPERLINK("https://helical-indexing-hi3d.streamlit.app/?emd_id=emd-6370&amp;rise=144.0241902&amp;twist=30.91321488&amp;csym=4&amp;rise2=145.0&amp;twist2=30.0&amp;csym2=4", "Link")</f>
        <v/>
      </c>
    </row>
    <row r="1560">
      <c r="A1560" t="inlineStr">
        <is>
          <t>EMD-1650</t>
        </is>
      </c>
      <c r="B1560" t="inlineStr">
        <is>
          <t>amyloid</t>
        </is>
      </c>
      <c r="C1560" t="n">
        <v>23</v>
      </c>
      <c r="D1560" t="inlineStr"/>
      <c r="E1560" t="inlineStr"/>
      <c r="F1560" t="inlineStr">
        <is>
          <t>C2</t>
        </is>
      </c>
      <c r="G1560" t="inlineStr"/>
      <c r="H1560" t="inlineStr"/>
      <c r="I1560" t="inlineStr">
        <is>
          <t>C1</t>
        </is>
      </c>
      <c r="J1560" t="inlineStr"/>
      <c r="K1560" t="inlineStr"/>
      <c r="L1560" t="inlineStr"/>
      <c r="M1560" t="inlineStr"/>
      <c r="N1560" t="inlineStr">
        <is>
          <t>Excluded</t>
        </is>
      </c>
      <c r="O1560" t="inlineStr"/>
      <c r="P1560" t="inlineStr">
        <is>
          <t>single unit</t>
        </is>
      </c>
      <c r="Q1560" t="inlineStr"/>
      <c r="R1560" t="inlineStr"/>
      <c r="S1560">
        <f>HYPERLINK("https://helical-indexing-hi3d.streamlit.app/?emd_id=emd-1650&amp;rise=nan&amp;twist=nan&amp;csym=1&amp;rise2=nan&amp;twist2=nan&amp;csym2=2", "Link")</f>
        <v/>
      </c>
    </row>
    <row r="1561">
      <c r="A1561" t="inlineStr">
        <is>
          <t>EMD-3568</t>
        </is>
      </c>
      <c r="B1561" t="inlineStr">
        <is>
          <t>non-amyloid</t>
        </is>
      </c>
      <c r="C1561" t="n">
        <v>23</v>
      </c>
      <c r="D1561" t="n">
        <v>38.4</v>
      </c>
      <c r="E1561" t="n">
        <v>64.3</v>
      </c>
      <c r="F1561" t="inlineStr">
        <is>
          <t>C1</t>
        </is>
      </c>
      <c r="G1561" t="inlineStr">
        <is>
          <t>38.4</t>
        </is>
      </c>
      <c r="H1561" t="n">
        <v>64.3</v>
      </c>
      <c r="I1561" t="inlineStr">
        <is>
          <t>C1</t>
        </is>
      </c>
      <c r="J1561" t="n">
        <v>0</v>
      </c>
      <c r="K1561" t="inlineStr"/>
      <c r="L1561" t="n">
        <v>0.9962800000000001</v>
      </c>
      <c r="M1561" t="n">
        <v>0.9962800000000001</v>
      </c>
      <c r="N1561" t="inlineStr">
        <is>
          <t>Yes</t>
        </is>
      </c>
      <c r="O1561" t="inlineStr">
        <is>
          <t>equal</t>
        </is>
      </c>
      <c r="P1561" t="inlineStr">
        <is>
          <t>deposited</t>
        </is>
      </c>
      <c r="Q1561" t="inlineStr"/>
      <c r="R1561" t="inlineStr"/>
      <c r="S1561">
        <f>HYPERLINK("https://helical-indexing-hi3d.streamlit.app/?emd_id=emd-3568&amp;rise=38.4&amp;twist=64.3&amp;csym=1&amp;rise2=38.4&amp;twist2=64.3&amp;csym2=1", "Link")</f>
        <v/>
      </c>
    </row>
    <row r="1562">
      <c r="A1562" t="inlineStr">
        <is>
          <t>EMD-1470</t>
        </is>
      </c>
      <c r="B1562" t="inlineStr">
        <is>
          <t>non-amyloid</t>
        </is>
      </c>
      <c r="C1562" t="n">
        <v>23</v>
      </c>
      <c r="D1562" t="inlineStr"/>
      <c r="E1562" t="inlineStr"/>
      <c r="F1562" t="inlineStr"/>
      <c r="G1562" t="inlineStr">
        <is>
          <t>47.27989081</t>
        </is>
      </c>
      <c r="H1562" t="n">
        <v>-30.78023678</v>
      </c>
      <c r="I1562" t="inlineStr">
        <is>
          <t>Cnan</t>
        </is>
      </c>
      <c r="J1562" t="inlineStr"/>
      <c r="K1562" t="inlineStr">
        <is>
          <t> </t>
        </is>
      </c>
      <c r="L1562" t="inlineStr"/>
      <c r="M1562" t="n">
        <v>0.993664477</v>
      </c>
      <c r="N1562" t="inlineStr">
        <is>
          <t>Yes</t>
        </is>
      </c>
      <c r="O1562" t="inlineStr">
        <is>
          <t>improve</t>
        </is>
      </c>
      <c r="P1562" t="inlineStr">
        <is>
          <t>no EMDB values</t>
        </is>
      </c>
      <c r="Q1562" t="inlineStr"/>
      <c r="R1562" t="inlineStr"/>
      <c r="S1562" t="inlineStr"/>
    </row>
    <row r="1563">
      <c r="A1563" t="inlineStr">
        <is>
          <t>EMD-4430</t>
        </is>
      </c>
      <c r="B1563" t="inlineStr">
        <is>
          <t>non-amyloid</t>
        </is>
      </c>
      <c r="C1563" t="n">
        <v>24</v>
      </c>
      <c r="D1563" t="n">
        <v>25.18</v>
      </c>
      <c r="E1563" t="n">
        <v>-65.15000000000001</v>
      </c>
      <c r="F1563" t="inlineStr">
        <is>
          <t>C1</t>
        </is>
      </c>
      <c r="G1563" t="inlineStr">
        <is>
          <t>25.18</t>
        </is>
      </c>
      <c r="H1563" t="n">
        <v>-65.15000000000001</v>
      </c>
      <c r="I1563" t="inlineStr">
        <is>
          <t>C1</t>
        </is>
      </c>
      <c r="J1563" t="n">
        <v>0</v>
      </c>
      <c r="K1563" t="inlineStr"/>
      <c r="L1563" t="n">
        <v>0.97189</v>
      </c>
      <c r="M1563" t="n">
        <v>0.97189</v>
      </c>
      <c r="N1563" t="inlineStr">
        <is>
          <t>Yes</t>
        </is>
      </c>
      <c r="O1563" t="inlineStr">
        <is>
          <t>equal</t>
        </is>
      </c>
      <c r="P1563" t="inlineStr">
        <is>
          <t>deposited</t>
        </is>
      </c>
      <c r="Q1563" t="inlineStr"/>
      <c r="R1563" t="inlineStr"/>
      <c r="S1563">
        <f>HYPERLINK("https://helical-indexing-hi3d.streamlit.app/?emd_id=emd-4430&amp;rise=25.18&amp;twist=-65.15&amp;csym=1&amp;rise2=25.18&amp;twist2=-65.15&amp;csym2=1", "Link")</f>
        <v/>
      </c>
    </row>
    <row r="1564">
      <c r="A1564" t="inlineStr">
        <is>
          <t>EMD-4403</t>
        </is>
      </c>
      <c r="B1564" t="inlineStr">
        <is>
          <t>non-amyloid</t>
        </is>
      </c>
      <c r="C1564" t="n">
        <v>24</v>
      </c>
      <c r="D1564" t="n">
        <v>114.7</v>
      </c>
      <c r="E1564" t="n">
        <v>30.5</v>
      </c>
      <c r="F1564" t="inlineStr">
        <is>
          <t>C4</t>
        </is>
      </c>
      <c r="G1564" t="inlineStr">
        <is>
          <t>114.7</t>
        </is>
      </c>
      <c r="H1564" t="n">
        <v>30.5</v>
      </c>
      <c r="I1564" t="inlineStr">
        <is>
          <t>C4</t>
        </is>
      </c>
      <c r="J1564" t="n">
        <v>0</v>
      </c>
      <c r="K1564" t="inlineStr"/>
      <c r="L1564" t="n">
        <v>0.99953</v>
      </c>
      <c r="M1564" t="n">
        <v>0.99953</v>
      </c>
      <c r="N1564" t="inlineStr">
        <is>
          <t>Yes</t>
        </is>
      </c>
      <c r="O1564" t="inlineStr">
        <is>
          <t>equal</t>
        </is>
      </c>
      <c r="P1564" t="inlineStr">
        <is>
          <t>deposited</t>
        </is>
      </c>
      <c r="Q1564" t="inlineStr"/>
      <c r="R1564" t="inlineStr"/>
      <c r="S1564">
        <f>HYPERLINK("https://helical-indexing-hi3d.streamlit.app/?emd_id=emd-4403&amp;rise=114.7&amp;twist=30.5&amp;csym=4&amp;rise2=114.7&amp;twist2=30.5&amp;csym2=4", "Link")</f>
        <v/>
      </c>
    </row>
    <row r="1565">
      <c r="A1565" t="inlineStr">
        <is>
          <t>EMD-5417</t>
        </is>
      </c>
      <c r="B1565" t="inlineStr">
        <is>
          <t>microtubule</t>
        </is>
      </c>
      <c r="C1565" t="n">
        <v>24.5</v>
      </c>
      <c r="D1565" t="n">
        <v>10.666</v>
      </c>
      <c r="E1565" t="n">
        <v>24</v>
      </c>
      <c r="F1565" t="inlineStr">
        <is>
          <t>C1</t>
        </is>
      </c>
      <c r="G1565" t="inlineStr">
        <is>
          <t>10.88</t>
        </is>
      </c>
      <c r="H1565" t="n">
        <v>-23.785</v>
      </c>
      <c r="I1565" t="inlineStr">
        <is>
          <t>C1</t>
        </is>
      </c>
      <c r="J1565" t="n">
        <v>6.611894582641661</v>
      </c>
      <c r="K1565" t="inlineStr"/>
      <c r="L1565" t="n">
        <v>0.59951</v>
      </c>
      <c r="M1565" t="n">
        <v>0.86089</v>
      </c>
      <c r="N1565" t="inlineStr">
        <is>
          <t>Yes</t>
        </is>
      </c>
      <c r="O1565" t="inlineStr">
        <is>
          <t>improve</t>
        </is>
      </c>
      <c r="P1565" t="inlineStr">
        <is>
          <t>twist sign</t>
        </is>
      </c>
      <c r="Q1565" t="inlineStr"/>
      <c r="R1565" t="inlineStr"/>
      <c r="S1565">
        <f>HYPERLINK("https://helical-indexing-hi3d.streamlit.app/?emd_id=emd-5417&amp;rise=10.88&amp;twist=-23.785&amp;csym=1&amp;rise2=10.666&amp;twist2=24.0&amp;csym2=1", "Link")</f>
        <v/>
      </c>
    </row>
    <row r="1566">
      <c r="A1566" t="inlineStr">
        <is>
          <t>EMD-8690</t>
        </is>
      </c>
      <c r="B1566" t="inlineStr">
        <is>
          <t>non-amyloid</t>
        </is>
      </c>
      <c r="C1566" t="n">
        <v>25</v>
      </c>
      <c r="D1566" t="n">
        <v>93.90000000000001</v>
      </c>
      <c r="E1566" t="n">
        <v>35.5</v>
      </c>
      <c r="F1566" t="inlineStr">
        <is>
          <t>D4</t>
        </is>
      </c>
      <c r="G1566" t="inlineStr">
        <is>
          <t>93.9</t>
        </is>
      </c>
      <c r="H1566" t="n">
        <v>35.5</v>
      </c>
      <c r="I1566" t="inlineStr">
        <is>
          <t>CD4</t>
        </is>
      </c>
      <c r="J1566" t="n">
        <v>0</v>
      </c>
      <c r="K1566" t="inlineStr"/>
      <c r="L1566" t="n">
        <v>0.99909</v>
      </c>
      <c r="M1566" t="n">
        <v>0.99909</v>
      </c>
      <c r="N1566" t="inlineStr">
        <is>
          <t>Yes</t>
        </is>
      </c>
      <c r="O1566" t="inlineStr">
        <is>
          <t>equal</t>
        </is>
      </c>
      <c r="P1566" t="inlineStr">
        <is>
          <t>deposited</t>
        </is>
      </c>
      <c r="Q1566" t="inlineStr"/>
      <c r="R1566" t="inlineStr"/>
      <c r="S1566">
        <f>HYPERLINK("https://helical-indexing-hi3d.streamlit.app/?emd_id=emd-8690&amp;rise=93.9&amp;twist=35.5&amp;csym=D4&amp;rise2=93.9&amp;twist2=35.5&amp;csym2=4", "Link")</f>
        <v/>
      </c>
    </row>
    <row r="1567">
      <c r="A1567" t="inlineStr">
        <is>
          <t>EMD-8691</t>
        </is>
      </c>
      <c r="B1567" t="inlineStr">
        <is>
          <t>non-amyloid</t>
        </is>
      </c>
      <c r="C1567" t="n">
        <v>25</v>
      </c>
      <c r="D1567" t="n">
        <v>111.3</v>
      </c>
      <c r="E1567" t="n">
        <v>30.5</v>
      </c>
      <c r="F1567" t="inlineStr">
        <is>
          <t>D4</t>
        </is>
      </c>
      <c r="G1567" t="inlineStr">
        <is>
          <t>111.3</t>
        </is>
      </c>
      <c r="H1567" t="n">
        <v>30.5</v>
      </c>
      <c r="I1567" t="inlineStr">
        <is>
          <t>CD4</t>
        </is>
      </c>
      <c r="J1567" t="n">
        <v>0</v>
      </c>
      <c r="K1567" t="inlineStr"/>
      <c r="L1567" t="n">
        <v>0.99912</v>
      </c>
      <c r="M1567" t="n">
        <v>0.99912</v>
      </c>
      <c r="N1567" t="inlineStr">
        <is>
          <t>Yes</t>
        </is>
      </c>
      <c r="O1567" t="inlineStr">
        <is>
          <t>equal</t>
        </is>
      </c>
      <c r="P1567" t="inlineStr">
        <is>
          <t>deposited</t>
        </is>
      </c>
      <c r="Q1567" t="inlineStr"/>
      <c r="R1567" t="inlineStr"/>
      <c r="S1567">
        <f>HYPERLINK("https://helical-indexing-hi3d.streamlit.app/?emd_id=emd-8691&amp;rise=111.3&amp;twist=30.5&amp;csym=D4&amp;rise2=111.3&amp;twist2=30.5&amp;csym2=4", "Link")</f>
        <v/>
      </c>
    </row>
    <row r="1568">
      <c r="A1568" t="inlineStr">
        <is>
          <t>EMD-3569</t>
        </is>
      </c>
      <c r="B1568" t="inlineStr">
        <is>
          <t>non-amyloid</t>
        </is>
      </c>
      <c r="C1568" t="n">
        <v>25</v>
      </c>
      <c r="D1568" t="n">
        <v>41.6</v>
      </c>
      <c r="E1568" t="n">
        <v>72</v>
      </c>
      <c r="F1568" t="inlineStr">
        <is>
          <t>C1</t>
        </is>
      </c>
      <c r="G1568" t="inlineStr">
        <is>
          <t>144</t>
        </is>
      </c>
      <c r="H1568" t="n">
        <v>14.1</v>
      </c>
      <c r="I1568" t="inlineStr">
        <is>
          <t>C1</t>
        </is>
      </c>
      <c r="J1568" t="n">
        <v>102.6344967934851</v>
      </c>
      <c r="K1568" t="inlineStr"/>
      <c r="L1568" t="n">
        <v>0.99916</v>
      </c>
      <c r="M1568" t="n">
        <v>0.99918</v>
      </c>
      <c r="N1568" t="inlineStr">
        <is>
          <t>Yes</t>
        </is>
      </c>
      <c r="O1568" t="inlineStr">
        <is>
          <t>improve</t>
        </is>
      </c>
      <c r="P1568" t="inlineStr">
        <is>
          <t>different</t>
        </is>
      </c>
      <c r="Q1568" t="inlineStr">
        <is>
          <t>partial symmetry</t>
        </is>
      </c>
      <c r="R1568" t="inlineStr"/>
      <c r="S1568">
        <f>HYPERLINK("https://helical-indexing-hi3d.streamlit.app/?emd_id=emd-3569&amp;rise=144&amp;twist=14.1&amp;csym=1&amp;rise2=41.6&amp;twist2=72.0&amp;csym2=1", "Link")</f>
        <v/>
      </c>
    </row>
    <row r="1569">
      <c r="A1569" t="inlineStr">
        <is>
          <t>EMD-19447</t>
        </is>
      </c>
      <c r="B1569" t="inlineStr">
        <is>
          <t>non-amyloid</t>
        </is>
      </c>
      <c r="C1569" t="n">
        <v>25</v>
      </c>
      <c r="D1569" t="n">
        <v>39.7201</v>
      </c>
      <c r="E1569" t="n">
        <v>-11.488</v>
      </c>
      <c r="F1569" t="inlineStr">
        <is>
          <t>C1</t>
        </is>
      </c>
      <c r="G1569" t="inlineStr">
        <is>
          <t>39.7201</t>
        </is>
      </c>
      <c r="H1569" t="n">
        <v>-11.488</v>
      </c>
      <c r="I1569" t="inlineStr">
        <is>
          <t>C1</t>
        </is>
      </c>
      <c r="J1569" t="n">
        <v>0</v>
      </c>
      <c r="K1569" t="inlineStr"/>
      <c r="L1569" t="n">
        <v>0.77996</v>
      </c>
      <c r="M1569" t="n">
        <v>0.77996</v>
      </c>
      <c r="N1569" t="inlineStr">
        <is>
          <t>Yes</t>
        </is>
      </c>
      <c r="O1569" t="inlineStr">
        <is>
          <t>equal</t>
        </is>
      </c>
      <c r="P1569" t="inlineStr">
        <is>
          <t>deposited</t>
        </is>
      </c>
      <c r="Q1569" t="inlineStr"/>
      <c r="R1569" t="inlineStr"/>
      <c r="S1569">
        <f>HYPERLINK("https://helical-indexing-hi3d.streamlit.app/?emd_id=emd-19447&amp;rise=39.7201&amp;twist=-11.488&amp;csym=1&amp;rise2=39.7201&amp;twist2=-11.488&amp;csym2=1", "Link")</f>
        <v/>
      </c>
    </row>
    <row r="1570">
      <c r="A1570" t="inlineStr">
        <is>
          <t>EMD-1034</t>
        </is>
      </c>
      <c r="B1570" t="inlineStr">
        <is>
          <t>non-amyloid</t>
        </is>
      </c>
      <c r="C1570" t="n">
        <v>25</v>
      </c>
      <c r="D1570" t="inlineStr"/>
      <c r="E1570" t="inlineStr"/>
      <c r="F1570" t="inlineStr">
        <is>
          <t>C1</t>
        </is>
      </c>
      <c r="G1570" t="inlineStr">
        <is>
          <t>6.129900645</t>
        </is>
      </c>
      <c r="H1570" t="n">
        <v>168.0863531</v>
      </c>
      <c r="I1570" t="inlineStr">
        <is>
          <t>C1</t>
        </is>
      </c>
      <c r="J1570" t="inlineStr"/>
      <c r="K1570" t="inlineStr">
        <is>
          <t> </t>
        </is>
      </c>
      <c r="L1570" t="inlineStr"/>
      <c r="M1570" t="n">
        <v>0.968508582</v>
      </c>
      <c r="N1570" t="inlineStr">
        <is>
          <t>Yes</t>
        </is>
      </c>
      <c r="O1570" t="inlineStr">
        <is>
          <t>improve</t>
        </is>
      </c>
      <c r="P1570" t="inlineStr">
        <is>
          <t>no EMDB values</t>
        </is>
      </c>
      <c r="Q1570" t="inlineStr"/>
      <c r="R1570" t="inlineStr"/>
      <c r="S1570">
        <f>HYPERLINK("https://helical-indexing-hi3d.streamlit.app/?emd_id=emd-1034&amp;rise=6.129900645&amp;twist=168.0863531&amp;csym=1&amp;rise2=nan&amp;twist2=nan&amp;csym2=1", "Link")</f>
        <v/>
      </c>
    </row>
    <row r="1571">
      <c r="A1571" t="inlineStr">
        <is>
          <t>EMD-1039</t>
        </is>
      </c>
      <c r="B1571" t="inlineStr">
        <is>
          <t>microtubule</t>
        </is>
      </c>
      <c r="C1571" t="n">
        <v>25</v>
      </c>
      <c r="D1571" t="inlineStr"/>
      <c r="E1571" t="inlineStr"/>
      <c r="F1571" t="inlineStr">
        <is>
          <t>C1</t>
        </is>
      </c>
      <c r="G1571" t="inlineStr">
        <is>
          <t>6.077335596</t>
        </is>
      </c>
      <c r="H1571" t="n">
        <v>168.121434</v>
      </c>
      <c r="I1571" t="inlineStr">
        <is>
          <t>C1</t>
        </is>
      </c>
      <c r="J1571" t="inlineStr"/>
      <c r="K1571" t="inlineStr">
        <is>
          <t> </t>
        </is>
      </c>
      <c r="L1571" t="inlineStr"/>
      <c r="M1571" t="n">
        <v>0.964741089</v>
      </c>
      <c r="N1571" t="inlineStr">
        <is>
          <t>Yes</t>
        </is>
      </c>
      <c r="O1571" t="inlineStr">
        <is>
          <t>improve</t>
        </is>
      </c>
      <c r="P1571" t="inlineStr">
        <is>
          <t>no EMDB values</t>
        </is>
      </c>
      <c r="Q1571" t="inlineStr"/>
      <c r="R1571" t="inlineStr"/>
      <c r="S1571">
        <f>HYPERLINK("https://helical-indexing-hi3d.streamlit.app/?emd_id=emd-1039&amp;rise=6.077335596&amp;twist=168.121434&amp;csym=1&amp;rise2=nan&amp;twist2=nan&amp;csym2=1", "Link")</f>
        <v/>
      </c>
    </row>
    <row r="1572">
      <c r="A1572" t="inlineStr">
        <is>
          <t>EMD-2368</t>
        </is>
      </c>
      <c r="B1572" t="inlineStr">
        <is>
          <t>non-amyloid</t>
        </is>
      </c>
      <c r="C1572" t="n">
        <v>25</v>
      </c>
      <c r="D1572" t="n">
        <v>12.11</v>
      </c>
      <c r="E1572" t="n">
        <v>84.7</v>
      </c>
      <c r="F1572" t="inlineStr"/>
      <c r="G1572" t="inlineStr">
        <is>
          <t>12.11</t>
        </is>
      </c>
      <c r="H1572" t="n">
        <v>84.7</v>
      </c>
      <c r="I1572" t="inlineStr">
        <is>
          <t>Cnan</t>
        </is>
      </c>
      <c r="J1572" t="n">
        <v>0</v>
      </c>
      <c r="K1572" t="inlineStr"/>
      <c r="L1572" t="n">
        <v>0.99188</v>
      </c>
      <c r="M1572" t="n">
        <v>0.99188</v>
      </c>
      <c r="N1572" t="inlineStr">
        <is>
          <t>Yes</t>
        </is>
      </c>
      <c r="O1572" t="inlineStr">
        <is>
          <t>equal</t>
        </is>
      </c>
      <c r="P1572" t="inlineStr">
        <is>
          <t>deposited</t>
        </is>
      </c>
      <c r="Q1572" t="inlineStr"/>
      <c r="R1572" t="inlineStr"/>
      <c r="S1572" t="inlineStr"/>
    </row>
    <row r="1573">
      <c r="A1573" t="inlineStr">
        <is>
          <t>EMD-1040</t>
        </is>
      </c>
      <c r="B1573" t="inlineStr">
        <is>
          <t>microtubule</t>
        </is>
      </c>
      <c r="C1573" t="n">
        <v>25</v>
      </c>
      <c r="D1573" t="inlineStr"/>
      <c r="E1573" t="inlineStr"/>
      <c r="F1573" t="inlineStr">
        <is>
          <t>C1</t>
        </is>
      </c>
      <c r="G1573" t="inlineStr">
        <is>
          <t>5.929013188</t>
        </is>
      </c>
      <c r="H1573" t="n">
        <v>168.1206247</v>
      </c>
      <c r="I1573" t="inlineStr">
        <is>
          <t>C1</t>
        </is>
      </c>
      <c r="J1573" t="inlineStr"/>
      <c r="K1573" t="inlineStr">
        <is>
          <t> </t>
        </is>
      </c>
      <c r="L1573" t="inlineStr"/>
      <c r="M1573" t="n">
        <v>0.969391442</v>
      </c>
      <c r="N1573" t="inlineStr">
        <is>
          <t>Yes</t>
        </is>
      </c>
      <c r="O1573" t="inlineStr">
        <is>
          <t>improve</t>
        </is>
      </c>
      <c r="P1573" t="inlineStr">
        <is>
          <t>no EMDB values</t>
        </is>
      </c>
      <c r="Q1573" t="inlineStr"/>
      <c r="R1573" t="inlineStr"/>
      <c r="S1573">
        <f>HYPERLINK("https://helical-indexing-hi3d.streamlit.app/?emd_id=emd-1040&amp;rise=5.929013188&amp;twist=168.1206247&amp;csym=1&amp;rise2=nan&amp;twist2=nan&amp;csym2=1", "Link")</f>
        <v/>
      </c>
    </row>
    <row r="1574">
      <c r="A1574" t="inlineStr">
        <is>
          <t>EMD-1037</t>
        </is>
      </c>
      <c r="B1574" t="inlineStr">
        <is>
          <t>non-amyloid</t>
        </is>
      </c>
      <c r="C1574" t="n">
        <v>25</v>
      </c>
      <c r="D1574" t="inlineStr"/>
      <c r="E1574" t="inlineStr"/>
      <c r="F1574" t="inlineStr">
        <is>
          <t>C1</t>
        </is>
      </c>
      <c r="G1574" t="inlineStr">
        <is>
          <t>12.04427637</t>
        </is>
      </c>
      <c r="H1574" t="n">
        <v>-23.81994689</v>
      </c>
      <c r="I1574" t="inlineStr">
        <is>
          <t>C1</t>
        </is>
      </c>
      <c r="J1574" t="inlineStr"/>
      <c r="K1574" t="inlineStr">
        <is>
          <t> </t>
        </is>
      </c>
      <c r="L1574" t="inlineStr"/>
      <c r="M1574" t="n">
        <v>0.974514464</v>
      </c>
      <c r="N1574" t="inlineStr">
        <is>
          <t>Yes</t>
        </is>
      </c>
      <c r="O1574" t="inlineStr">
        <is>
          <t>improve</t>
        </is>
      </c>
      <c r="P1574" t="inlineStr">
        <is>
          <t>no EMDB values</t>
        </is>
      </c>
      <c r="Q1574" t="inlineStr"/>
      <c r="R1574" t="inlineStr"/>
      <c r="S1574">
        <f>HYPERLINK("https://helical-indexing-hi3d.streamlit.app/?emd_id=emd-1037&amp;rise=12.04427637&amp;twist=-23.81994689&amp;csym=1&amp;rise2=nan&amp;twist2=nan&amp;csym2=1", "Link")</f>
        <v/>
      </c>
    </row>
    <row r="1575">
      <c r="A1575" t="inlineStr">
        <is>
          <t>EMD-1029</t>
        </is>
      </c>
      <c r="B1575" t="inlineStr">
        <is>
          <t>microtubule</t>
        </is>
      </c>
      <c r="C1575" t="n">
        <v>25</v>
      </c>
      <c r="D1575" t="inlineStr"/>
      <c r="E1575" t="inlineStr"/>
      <c r="F1575" t="inlineStr">
        <is>
          <t>C1</t>
        </is>
      </c>
      <c r="G1575" t="inlineStr">
        <is>
          <t>6.044485501</t>
        </is>
      </c>
      <c r="H1575" t="n">
        <v>168.0971985</v>
      </c>
      <c r="I1575" t="inlineStr">
        <is>
          <t>C1</t>
        </is>
      </c>
      <c r="J1575" t="inlineStr"/>
      <c r="K1575" t="inlineStr">
        <is>
          <t> </t>
        </is>
      </c>
      <c r="L1575" t="inlineStr"/>
      <c r="M1575" t="n">
        <v>0.883783001</v>
      </c>
      <c r="N1575" t="inlineStr">
        <is>
          <t>Yes</t>
        </is>
      </c>
      <c r="O1575" t="inlineStr">
        <is>
          <t>improve</t>
        </is>
      </c>
      <c r="P1575" t="inlineStr">
        <is>
          <t>no EMDB values</t>
        </is>
      </c>
      <c r="Q1575" t="inlineStr"/>
      <c r="R1575" t="inlineStr"/>
      <c r="S1575">
        <f>HYPERLINK("https://helical-indexing-hi3d.streamlit.app/?emd_id=emd-1029&amp;rise=6.044485501&amp;twist=168.0971985&amp;csym=1&amp;rise2=nan&amp;twist2=nan&amp;csym2=1", "Link")</f>
        <v/>
      </c>
    </row>
    <row r="1576">
      <c r="A1576" t="inlineStr">
        <is>
          <t>EMD-1030</t>
        </is>
      </c>
      <c r="B1576" t="inlineStr">
        <is>
          <t>non-amyloid</t>
        </is>
      </c>
      <c r="C1576" t="n">
        <v>25</v>
      </c>
      <c r="D1576" t="inlineStr"/>
      <c r="E1576" t="inlineStr"/>
      <c r="F1576" t="inlineStr">
        <is>
          <t>C1</t>
        </is>
      </c>
      <c r="G1576" t="inlineStr">
        <is>
          <t>6.118706722</t>
        </is>
      </c>
      <c r="H1576" t="n">
        <v>168.0862779</v>
      </c>
      <c r="I1576" t="inlineStr">
        <is>
          <t>C1</t>
        </is>
      </c>
      <c r="J1576" t="inlineStr"/>
      <c r="K1576" t="inlineStr">
        <is>
          <t> </t>
        </is>
      </c>
      <c r="L1576" t="inlineStr"/>
      <c r="M1576" t="n">
        <v>0.984092161</v>
      </c>
      <c r="N1576" t="inlineStr">
        <is>
          <t>Yes</t>
        </is>
      </c>
      <c r="O1576" t="inlineStr">
        <is>
          <t>improve</t>
        </is>
      </c>
      <c r="P1576" t="inlineStr">
        <is>
          <t>no EMDB values</t>
        </is>
      </c>
      <c r="Q1576" t="inlineStr"/>
      <c r="R1576" t="inlineStr"/>
      <c r="S1576">
        <f>HYPERLINK("https://helical-indexing-hi3d.streamlit.app/?emd_id=emd-1030&amp;rise=6.118706722&amp;twist=168.0862779&amp;csym=1&amp;rise2=nan&amp;twist2=nan&amp;csym2=1", "Link")</f>
        <v/>
      </c>
    </row>
    <row r="1577">
      <c r="A1577" t="inlineStr">
        <is>
          <t>EMD-1027</t>
        </is>
      </c>
      <c r="B1577" t="inlineStr">
        <is>
          <t>microtubule</t>
        </is>
      </c>
      <c r="C1577" t="n">
        <v>25</v>
      </c>
      <c r="D1577" t="inlineStr"/>
      <c r="E1577" t="inlineStr"/>
      <c r="F1577" t="inlineStr">
        <is>
          <t>C1</t>
        </is>
      </c>
      <c r="G1577" t="inlineStr">
        <is>
          <t>6.041951918</t>
        </is>
      </c>
      <c r="H1577" t="n">
        <v>168.0883148</v>
      </c>
      <c r="I1577" t="inlineStr">
        <is>
          <t>C1</t>
        </is>
      </c>
      <c r="J1577" t="inlineStr"/>
      <c r="K1577" t="inlineStr">
        <is>
          <t> </t>
        </is>
      </c>
      <c r="L1577" t="inlineStr"/>
      <c r="M1577" t="n">
        <v>0.975817815</v>
      </c>
      <c r="N1577" t="inlineStr">
        <is>
          <t>Yes</t>
        </is>
      </c>
      <c r="O1577" t="inlineStr">
        <is>
          <t>improve</t>
        </is>
      </c>
      <c r="P1577" t="inlineStr">
        <is>
          <t>no EMDB values</t>
        </is>
      </c>
      <c r="Q1577" t="inlineStr"/>
      <c r="R1577" t="inlineStr"/>
      <c r="S1577">
        <f>HYPERLINK("https://helical-indexing-hi3d.streamlit.app/?emd_id=emd-1027&amp;rise=6.041951918&amp;twist=168.0883148&amp;csym=1&amp;rise2=nan&amp;twist2=nan&amp;csym2=1", "Link")</f>
        <v/>
      </c>
    </row>
    <row r="1578">
      <c r="A1578" t="inlineStr">
        <is>
          <t>EMD-1028</t>
        </is>
      </c>
      <c r="B1578" t="inlineStr">
        <is>
          <t>microtubule</t>
        </is>
      </c>
      <c r="C1578" t="n">
        <v>25</v>
      </c>
      <c r="D1578" t="inlineStr"/>
      <c r="E1578" t="inlineStr"/>
      <c r="F1578" t="inlineStr">
        <is>
          <t>C1</t>
        </is>
      </c>
      <c r="G1578" t="inlineStr">
        <is>
          <t>12.05090625</t>
        </is>
      </c>
      <c r="H1578" t="n">
        <v>-23.81296692</v>
      </c>
      <c r="I1578" t="inlineStr">
        <is>
          <t>C1</t>
        </is>
      </c>
      <c r="J1578" t="inlineStr"/>
      <c r="K1578" t="inlineStr">
        <is>
          <t> </t>
        </is>
      </c>
      <c r="L1578" t="inlineStr"/>
      <c r="M1578" t="n">
        <v>0.9463418300000001</v>
      </c>
      <c r="N1578" t="inlineStr">
        <is>
          <t>Yes</t>
        </is>
      </c>
      <c r="O1578" t="inlineStr">
        <is>
          <t>improve</t>
        </is>
      </c>
      <c r="P1578" t="inlineStr">
        <is>
          <t>no EMDB values</t>
        </is>
      </c>
      <c r="Q1578" t="inlineStr"/>
      <c r="R1578" t="inlineStr"/>
      <c r="S1578">
        <f>HYPERLINK("https://helical-indexing-hi3d.streamlit.app/?emd_id=emd-1028&amp;rise=12.05090625&amp;twist=-23.81296692&amp;csym=1&amp;rise2=nan&amp;twist2=nan&amp;csym2=1", "Link")</f>
        <v/>
      </c>
    </row>
    <row r="1579">
      <c r="A1579" t="inlineStr">
        <is>
          <t>EMD-1036</t>
        </is>
      </c>
      <c r="B1579" t="inlineStr">
        <is>
          <t>non-amyloid</t>
        </is>
      </c>
      <c r="C1579" t="n">
        <v>25</v>
      </c>
      <c r="D1579" t="inlineStr"/>
      <c r="E1579" t="inlineStr"/>
      <c r="F1579" t="inlineStr">
        <is>
          <t>C1</t>
        </is>
      </c>
      <c r="G1579" t="inlineStr">
        <is>
          <t>6.00867218</t>
        </is>
      </c>
      <c r="H1579" t="n">
        <v>168.1591137</v>
      </c>
      <c r="I1579" t="inlineStr">
        <is>
          <t>C1</t>
        </is>
      </c>
      <c r="J1579" t="inlineStr"/>
      <c r="K1579" t="inlineStr">
        <is>
          <t> </t>
        </is>
      </c>
      <c r="L1579" t="inlineStr"/>
      <c r="M1579" t="n">
        <v>0.972642618</v>
      </c>
      <c r="N1579" t="inlineStr">
        <is>
          <t>Yes</t>
        </is>
      </c>
      <c r="O1579" t="inlineStr">
        <is>
          <t>improve</t>
        </is>
      </c>
      <c r="P1579" t="inlineStr">
        <is>
          <t>no EMDB values</t>
        </is>
      </c>
      <c r="Q1579" t="inlineStr"/>
      <c r="R1579" t="inlineStr"/>
      <c r="S1579">
        <f>HYPERLINK("https://helical-indexing-hi3d.streamlit.app/?emd_id=emd-1036&amp;rise=6.00867218&amp;twist=168.1591137&amp;csym=1&amp;rise2=nan&amp;twist2=nan&amp;csym2=1", "Link")</f>
        <v/>
      </c>
    </row>
    <row r="1580">
      <c r="A1580" t="inlineStr">
        <is>
          <t>EMD-1031</t>
        </is>
      </c>
      <c r="B1580" t="inlineStr">
        <is>
          <t>non-amyloid</t>
        </is>
      </c>
      <c r="C1580" t="n">
        <v>25</v>
      </c>
      <c r="D1580" t="inlineStr"/>
      <c r="E1580" t="inlineStr"/>
      <c r="F1580" t="inlineStr">
        <is>
          <t>C1</t>
        </is>
      </c>
      <c r="G1580" t="inlineStr">
        <is>
          <t>5.936931793</t>
        </is>
      </c>
      <c r="H1580" t="n">
        <v>168.0762434</v>
      </c>
      <c r="I1580" t="inlineStr">
        <is>
          <t>C1</t>
        </is>
      </c>
      <c r="J1580" t="inlineStr"/>
      <c r="K1580" t="inlineStr">
        <is>
          <t> </t>
        </is>
      </c>
      <c r="L1580" t="inlineStr"/>
      <c r="M1580" t="n">
        <v>0.980378144</v>
      </c>
      <c r="N1580" t="inlineStr">
        <is>
          <t>Yes</t>
        </is>
      </c>
      <c r="O1580" t="inlineStr">
        <is>
          <t>improve</t>
        </is>
      </c>
      <c r="P1580" t="inlineStr">
        <is>
          <t>no EMDB values</t>
        </is>
      </c>
      <c r="Q1580" t="inlineStr"/>
      <c r="R1580" t="inlineStr"/>
      <c r="S1580">
        <f>HYPERLINK("https://helical-indexing-hi3d.streamlit.app/?emd_id=emd-1031&amp;rise=5.936931793&amp;twist=168.0762434&amp;csym=1&amp;rise2=nan&amp;twist2=nan&amp;csym2=1", "Link")</f>
        <v/>
      </c>
    </row>
    <row r="1581">
      <c r="A1581" t="inlineStr">
        <is>
          <t>EMD-1033</t>
        </is>
      </c>
      <c r="B1581" t="inlineStr">
        <is>
          <t>non-amyloid</t>
        </is>
      </c>
      <c r="C1581" t="n">
        <v>25</v>
      </c>
      <c r="D1581" t="inlineStr"/>
      <c r="E1581" t="inlineStr"/>
      <c r="F1581" t="inlineStr">
        <is>
          <t>C1</t>
        </is>
      </c>
      <c r="G1581" t="inlineStr">
        <is>
          <t>6.02938856</t>
        </is>
      </c>
      <c r="H1581" t="n">
        <v>168.0703427</v>
      </c>
      <c r="I1581" t="inlineStr">
        <is>
          <t>C1</t>
        </is>
      </c>
      <c r="J1581" t="inlineStr"/>
      <c r="K1581" t="inlineStr">
        <is>
          <t> </t>
        </is>
      </c>
      <c r="L1581" t="inlineStr"/>
      <c r="M1581" t="n">
        <v>0.974029449</v>
      </c>
      <c r="N1581" t="inlineStr">
        <is>
          <t>Yes</t>
        </is>
      </c>
      <c r="O1581" t="inlineStr">
        <is>
          <t>improve</t>
        </is>
      </c>
      <c r="P1581" t="inlineStr">
        <is>
          <t>no EMDB values</t>
        </is>
      </c>
      <c r="Q1581" t="inlineStr"/>
      <c r="R1581" t="inlineStr"/>
      <c r="S1581">
        <f>HYPERLINK("https://helical-indexing-hi3d.streamlit.app/?emd_id=emd-1033&amp;rise=6.02938856&amp;twist=168.0703427&amp;csym=1&amp;rise2=nan&amp;twist2=nan&amp;csym2=1", "Link")</f>
        <v/>
      </c>
    </row>
    <row r="1582">
      <c r="A1582" t="inlineStr">
        <is>
          <t>EMD-1032</t>
        </is>
      </c>
      <c r="B1582" t="inlineStr">
        <is>
          <t>non-amyloid</t>
        </is>
      </c>
      <c r="C1582" t="n">
        <v>25</v>
      </c>
      <c r="D1582" t="inlineStr"/>
      <c r="E1582" t="inlineStr"/>
      <c r="F1582" t="inlineStr">
        <is>
          <t>C1</t>
        </is>
      </c>
      <c r="G1582" t="inlineStr">
        <is>
          <t>6.108117525</t>
        </is>
      </c>
      <c r="H1582" t="n">
        <v>168.1116923</v>
      </c>
      <c r="I1582" t="inlineStr">
        <is>
          <t>C1</t>
        </is>
      </c>
      <c r="J1582" t="inlineStr"/>
      <c r="K1582" t="inlineStr">
        <is>
          <t> </t>
        </is>
      </c>
      <c r="L1582" t="inlineStr"/>
      <c r="M1582" t="n">
        <v>0.972546086</v>
      </c>
      <c r="N1582" t="inlineStr">
        <is>
          <t>Yes</t>
        </is>
      </c>
      <c r="O1582" t="inlineStr">
        <is>
          <t>improve</t>
        </is>
      </c>
      <c r="P1582" t="inlineStr">
        <is>
          <t>no EMDB values</t>
        </is>
      </c>
      <c r="Q1582" t="inlineStr"/>
      <c r="R1582" t="inlineStr"/>
      <c r="S1582">
        <f>HYPERLINK("https://helical-indexing-hi3d.streamlit.app/?emd_id=emd-1032&amp;rise=6.108117525&amp;twist=168.1116923&amp;csym=1&amp;rise2=nan&amp;twist2=nan&amp;csym2=1", "Link")</f>
        <v/>
      </c>
    </row>
    <row r="1583">
      <c r="A1583" t="inlineStr">
        <is>
          <t>EMD-1041</t>
        </is>
      </c>
      <c r="B1583" t="inlineStr">
        <is>
          <t>microtubule</t>
        </is>
      </c>
      <c r="C1583" t="n">
        <v>25</v>
      </c>
      <c r="D1583" t="inlineStr"/>
      <c r="E1583" t="inlineStr"/>
      <c r="F1583" t="inlineStr">
        <is>
          <t>C1</t>
        </is>
      </c>
      <c r="G1583" t="inlineStr">
        <is>
          <t>6.074099229</t>
        </is>
      </c>
      <c r="H1583" t="n">
        <v>168.1065487</v>
      </c>
      <c r="I1583" t="inlineStr">
        <is>
          <t>C1</t>
        </is>
      </c>
      <c r="J1583" t="inlineStr"/>
      <c r="K1583" t="inlineStr">
        <is>
          <t> </t>
        </is>
      </c>
      <c r="L1583" t="inlineStr"/>
      <c r="M1583" t="n">
        <v>0.974249642</v>
      </c>
      <c r="N1583" t="inlineStr">
        <is>
          <t>Yes</t>
        </is>
      </c>
      <c r="O1583" t="inlineStr">
        <is>
          <t>improve</t>
        </is>
      </c>
      <c r="P1583" t="inlineStr">
        <is>
          <t>no EMDB values</t>
        </is>
      </c>
      <c r="Q1583" t="inlineStr"/>
      <c r="R1583" t="inlineStr"/>
      <c r="S1583">
        <f>HYPERLINK("https://helical-indexing-hi3d.streamlit.app/?emd_id=emd-1041&amp;rise=6.074099229&amp;twist=168.1065487&amp;csym=1&amp;rise2=nan&amp;twist2=nan&amp;csym2=1", "Link")</f>
        <v/>
      </c>
    </row>
    <row r="1584">
      <c r="A1584" t="inlineStr">
        <is>
          <t>EMD-1038</t>
        </is>
      </c>
      <c r="B1584" t="inlineStr">
        <is>
          <t>non-amyloid</t>
        </is>
      </c>
      <c r="C1584" t="n">
        <v>25</v>
      </c>
      <c r="D1584" t="inlineStr"/>
      <c r="E1584" t="inlineStr"/>
      <c r="F1584" t="inlineStr">
        <is>
          <t>C1</t>
        </is>
      </c>
      <c r="G1584" t="inlineStr">
        <is>
          <t>12.01042176</t>
        </is>
      </c>
      <c r="H1584" t="n">
        <v>-23.74317964</v>
      </c>
      <c r="I1584" t="inlineStr">
        <is>
          <t>C1</t>
        </is>
      </c>
      <c r="J1584" t="inlineStr"/>
      <c r="K1584" t="inlineStr">
        <is>
          <t> </t>
        </is>
      </c>
      <c r="L1584" t="inlineStr"/>
      <c r="M1584" t="n">
        <v>0.972169038</v>
      </c>
      <c r="N1584" t="inlineStr">
        <is>
          <t>Yes</t>
        </is>
      </c>
      <c r="O1584" t="inlineStr">
        <is>
          <t>improve</t>
        </is>
      </c>
      <c r="P1584" t="inlineStr">
        <is>
          <t>no EMDB values</t>
        </is>
      </c>
      <c r="Q1584" t="inlineStr"/>
      <c r="R1584" t="inlineStr"/>
      <c r="S1584">
        <f>HYPERLINK("https://helical-indexing-hi3d.streamlit.app/?emd_id=emd-1038&amp;rise=12.01042176&amp;twist=-23.74317964&amp;csym=1&amp;rise2=nan&amp;twist2=nan&amp;csym2=1", "Link")</f>
        <v/>
      </c>
    </row>
    <row r="1585">
      <c r="A1585" t="inlineStr">
        <is>
          <t>EMD-1035</t>
        </is>
      </c>
      <c r="B1585" t="inlineStr">
        <is>
          <t>non-amyloid</t>
        </is>
      </c>
      <c r="C1585" t="n">
        <v>25</v>
      </c>
      <c r="D1585" t="inlineStr"/>
      <c r="E1585" t="inlineStr"/>
      <c r="F1585" t="inlineStr">
        <is>
          <t>C1</t>
        </is>
      </c>
      <c r="G1585" t="inlineStr">
        <is>
          <t>16.96303976</t>
        </is>
      </c>
      <c r="H1585" t="n">
        <v>144.3971554</v>
      </c>
      <c r="I1585" t="inlineStr">
        <is>
          <t>C1</t>
        </is>
      </c>
      <c r="J1585" t="inlineStr"/>
      <c r="K1585" t="inlineStr">
        <is>
          <t> </t>
        </is>
      </c>
      <c r="L1585" t="inlineStr"/>
      <c r="M1585" t="n">
        <v>0.9493661249999999</v>
      </c>
      <c r="N1585" t="inlineStr">
        <is>
          <t>Yes</t>
        </is>
      </c>
      <c r="O1585" t="inlineStr">
        <is>
          <t>improve</t>
        </is>
      </c>
      <c r="P1585" t="inlineStr">
        <is>
          <t>no EMDB values</t>
        </is>
      </c>
      <c r="Q1585" t="inlineStr"/>
      <c r="R1585" t="inlineStr"/>
      <c r="S1585">
        <f>HYPERLINK("https://helical-indexing-hi3d.streamlit.app/?emd_id=emd-1035&amp;rise=16.96303976&amp;twist=144.3971554&amp;csym=1&amp;rise2=nan&amp;twist2=nan&amp;csym2=1", "Link")</f>
        <v/>
      </c>
    </row>
    <row r="1586">
      <c r="A1586" t="inlineStr">
        <is>
          <t>EMD-8542</t>
        </is>
      </c>
      <c r="B1586" t="inlineStr">
        <is>
          <t>non-amyloid</t>
        </is>
      </c>
      <c r="C1586" t="n">
        <v>25</v>
      </c>
      <c r="D1586" t="n">
        <v>83.3</v>
      </c>
      <c r="E1586" t="n">
        <v>-140</v>
      </c>
      <c r="F1586" t="inlineStr">
        <is>
          <t>C1</t>
        </is>
      </c>
      <c r="G1586" t="inlineStr">
        <is>
          <t>83.3</t>
        </is>
      </c>
      <c r="H1586" t="n">
        <v>-140</v>
      </c>
      <c r="I1586" t="inlineStr">
        <is>
          <t>C1</t>
        </is>
      </c>
      <c r="J1586" t="n">
        <v>0</v>
      </c>
      <c r="K1586" t="inlineStr"/>
      <c r="L1586" t="n">
        <v>0.99457</v>
      </c>
      <c r="M1586" t="n">
        <v>0.99457</v>
      </c>
      <c r="N1586" t="inlineStr">
        <is>
          <t>Yes</t>
        </is>
      </c>
      <c r="O1586" t="inlineStr">
        <is>
          <t>equal</t>
        </is>
      </c>
      <c r="P1586" t="inlineStr">
        <is>
          <t>deposited</t>
        </is>
      </c>
      <c r="Q1586" t="inlineStr"/>
      <c r="R1586" t="inlineStr"/>
      <c r="S1586">
        <f>HYPERLINK("https://helical-indexing-hi3d.streamlit.app/?emd_id=emd-8542&amp;rise=83.3&amp;twist=-140.0&amp;csym=1&amp;rise2=83.3&amp;twist2=-140.0&amp;csym2=1", "Link")</f>
        <v/>
      </c>
    </row>
    <row r="1587">
      <c r="A1587" t="inlineStr">
        <is>
          <t>EMD-1865</t>
        </is>
      </c>
      <c r="B1587" t="inlineStr">
        <is>
          <t>non-amyloid</t>
        </is>
      </c>
      <c r="C1587" t="n">
        <v>25</v>
      </c>
      <c r="D1587" t="n">
        <v>5.5</v>
      </c>
      <c r="E1587" t="n">
        <v>53.1</v>
      </c>
      <c r="F1587" t="inlineStr">
        <is>
          <t>C1</t>
        </is>
      </c>
      <c r="G1587" t="inlineStr">
        <is>
          <t>5.445313378</t>
        </is>
      </c>
      <c r="H1587" t="n">
        <v>-53.11404644</v>
      </c>
      <c r="I1587" t="inlineStr">
        <is>
          <t>C1</t>
        </is>
      </c>
      <c r="J1587" t="n">
        <v>6.311190814689584</v>
      </c>
      <c r="K1587" t="inlineStr">
        <is>
          <t> </t>
        </is>
      </c>
      <c r="L1587" t="n">
        <v>0.58088</v>
      </c>
      <c r="M1587" t="n">
        <v>0.915334472</v>
      </c>
      <c r="N1587" t="inlineStr">
        <is>
          <t>Yes</t>
        </is>
      </c>
      <c r="O1587" t="inlineStr">
        <is>
          <t>improve</t>
        </is>
      </c>
      <c r="P1587" t="inlineStr">
        <is>
          <t>twist sign</t>
        </is>
      </c>
      <c r="Q1587" t="inlineStr"/>
      <c r="R1587" t="inlineStr"/>
      <c r="S1587">
        <f>HYPERLINK("https://helical-indexing-hi3d.streamlit.app/?emd_id=emd-1865&amp;rise=5.445313378&amp;twist=-53.11404644&amp;csym=1&amp;rise2=5.5&amp;twist2=53.1&amp;csym2=1", "Link")</f>
        <v/>
      </c>
    </row>
    <row r="1588">
      <c r="A1588" t="inlineStr">
        <is>
          <t>EMD-1614</t>
        </is>
      </c>
      <c r="B1588" t="inlineStr">
        <is>
          <t>non-amyloid</t>
        </is>
      </c>
      <c r="C1588" t="n">
        <v>25</v>
      </c>
      <c r="D1588" t="n">
        <v>52.5</v>
      </c>
      <c r="E1588" t="n">
        <v>7.01</v>
      </c>
      <c r="F1588" t="inlineStr"/>
      <c r="G1588" t="inlineStr">
        <is>
          <t>51.0988855</t>
        </is>
      </c>
      <c r="H1588" t="n">
        <v>-8.801898649</v>
      </c>
      <c r="I1588" t="inlineStr">
        <is>
          <t>Cnan</t>
        </is>
      </c>
      <c r="J1588" t="n">
        <v>2.164654733385851</v>
      </c>
      <c r="K1588" t="inlineStr"/>
      <c r="L1588" t="n">
        <v>0.45909</v>
      </c>
      <c r="M1588" t="n">
        <v>0.95415599</v>
      </c>
      <c r="N1588" t="inlineStr">
        <is>
          <t>Yes</t>
        </is>
      </c>
      <c r="O1588" t="inlineStr">
        <is>
          <t>improve</t>
        </is>
      </c>
      <c r="P1588" t="inlineStr">
        <is>
          <t>twist sign</t>
        </is>
      </c>
      <c r="Q1588" t="inlineStr"/>
      <c r="R1588" t="inlineStr"/>
      <c r="S1588" t="inlineStr"/>
    </row>
    <row r="1589">
      <c r="A1589" t="inlineStr">
        <is>
          <t>EMD-1986</t>
        </is>
      </c>
      <c r="B1589" t="inlineStr">
        <is>
          <t>non-amyloid</t>
        </is>
      </c>
      <c r="C1589" t="n">
        <v>25</v>
      </c>
      <c r="D1589" t="n">
        <v>5</v>
      </c>
      <c r="E1589" t="n">
        <v>24.3</v>
      </c>
      <c r="F1589" t="inlineStr"/>
      <c r="G1589" t="inlineStr">
        <is>
          <t>4.895699826</t>
        </is>
      </c>
      <c r="H1589" t="n">
        <v>-24.32554804</v>
      </c>
      <c r="I1589" t="inlineStr">
        <is>
          <t>Cnan</t>
        </is>
      </c>
      <c r="J1589" t="n">
        <v>18.35855410314383</v>
      </c>
      <c r="K1589" t="inlineStr"/>
      <c r="L1589" t="n">
        <v>0.6349</v>
      </c>
      <c r="M1589" t="n">
        <v>0.991333083</v>
      </c>
      <c r="N1589" t="inlineStr">
        <is>
          <t>Yes</t>
        </is>
      </c>
      <c r="O1589" t="inlineStr">
        <is>
          <t>improve</t>
        </is>
      </c>
      <c r="P1589" t="inlineStr">
        <is>
          <t>twist sign</t>
        </is>
      </c>
      <c r="Q1589" t="inlineStr"/>
      <c r="R1589" t="inlineStr"/>
      <c r="S1589" t="inlineStr"/>
    </row>
    <row r="1590">
      <c r="A1590" t="inlineStr">
        <is>
          <t>EMD-5949</t>
        </is>
      </c>
      <c r="B1590" t="inlineStr">
        <is>
          <t>non-amyloid</t>
        </is>
      </c>
      <c r="C1590" t="n">
        <v>25</v>
      </c>
      <c r="D1590" t="n">
        <v>5.32</v>
      </c>
      <c r="E1590" t="n">
        <v>28.1</v>
      </c>
      <c r="F1590" t="inlineStr">
        <is>
          <t>C1</t>
        </is>
      </c>
      <c r="G1590" t="inlineStr">
        <is>
          <t>5.32</t>
        </is>
      </c>
      <c r="H1590" t="n">
        <v>28.1</v>
      </c>
      <c r="I1590" t="inlineStr">
        <is>
          <t>C1</t>
        </is>
      </c>
      <c r="J1590" t="n">
        <v>0</v>
      </c>
      <c r="K1590" t="inlineStr"/>
      <c r="L1590" t="n">
        <v>0.52845</v>
      </c>
      <c r="M1590" t="n">
        <v>0.934012105</v>
      </c>
      <c r="N1590" t="inlineStr">
        <is>
          <t>Yes</t>
        </is>
      </c>
      <c r="O1590" t="inlineStr">
        <is>
          <t>improve</t>
        </is>
      </c>
      <c r="P1590" t="inlineStr">
        <is>
          <t>twist sign</t>
        </is>
      </c>
      <c r="Q1590" t="inlineStr"/>
      <c r="R1590" t="inlineStr"/>
      <c r="S1590">
        <f>HYPERLINK("https://helical-indexing-hi3d.streamlit.app/?emd_id=emd-5949&amp;rise=5.32&amp;twist=28.1&amp;csym=1&amp;rise2=5.32&amp;twist2=28.1&amp;csym2=1", "Link")</f>
        <v/>
      </c>
    </row>
    <row r="1591">
      <c r="A1591" t="inlineStr">
        <is>
          <t>EMD-5368</t>
        </is>
      </c>
      <c r="B1591" t="inlineStr">
        <is>
          <t>non-amyloid</t>
        </is>
      </c>
      <c r="C1591" t="n">
        <v>26</v>
      </c>
      <c r="D1591" t="n">
        <v>17.27</v>
      </c>
      <c r="E1591" t="n">
        <v>59.18</v>
      </c>
      <c r="F1591" t="inlineStr">
        <is>
          <t>C2</t>
        </is>
      </c>
      <c r="G1591" t="inlineStr">
        <is>
          <t>17.13687414</t>
        </is>
      </c>
      <c r="H1591" t="n">
        <v>59.58111817</v>
      </c>
      <c r="I1591" t="inlineStr">
        <is>
          <t>C2</t>
        </is>
      </c>
      <c r="J1591" t="n">
        <v>0.1507988579061264</v>
      </c>
      <c r="K1591" t="inlineStr"/>
      <c r="L1591" t="n">
        <v>0.96423</v>
      </c>
      <c r="M1591" t="n">
        <v>0.971123458</v>
      </c>
      <c r="N1591" t="inlineStr">
        <is>
          <t>Yes</t>
        </is>
      </c>
      <c r="O1591" t="inlineStr">
        <is>
          <t>improve</t>
        </is>
      </c>
      <c r="P1591" t="inlineStr">
        <is>
          <t>adjusted decimals</t>
        </is>
      </c>
      <c r="Q1591" t="inlineStr"/>
      <c r="R1591" t="inlineStr"/>
      <c r="S1591">
        <f>HYPERLINK("https://helical-indexing-hi3d.streamlit.app/?emd_id=emd-5368&amp;rise=17.13687414&amp;twist=59.58111817&amp;csym=2&amp;rise2=17.27&amp;twist2=59.18&amp;csym2=2", "Link")</f>
        <v/>
      </c>
    </row>
    <row r="1592">
      <c r="A1592" t="inlineStr">
        <is>
          <t>EMD-1622</t>
        </is>
      </c>
      <c r="B1592" t="inlineStr">
        <is>
          <t>non-amyloid</t>
        </is>
      </c>
      <c r="C1592" t="n">
        <v>26</v>
      </c>
      <c r="D1592" t="n">
        <v>7</v>
      </c>
      <c r="E1592" t="n">
        <v>36.8</v>
      </c>
      <c r="F1592" t="inlineStr"/>
      <c r="G1592" t="inlineStr">
        <is>
          <t>7</t>
        </is>
      </c>
      <c r="H1592" t="n">
        <v>36.8</v>
      </c>
      <c r="I1592" t="inlineStr">
        <is>
          <t>Cnan</t>
        </is>
      </c>
      <c r="J1592" t="n">
        <v>0</v>
      </c>
      <c r="K1592" t="inlineStr"/>
      <c r="L1592" t="n">
        <v>0.9964499999999999</v>
      </c>
      <c r="M1592" t="n">
        <v>0.9964499999999999</v>
      </c>
      <c r="N1592" t="inlineStr">
        <is>
          <t>Yes</t>
        </is>
      </c>
      <c r="O1592" t="inlineStr">
        <is>
          <t>equal</t>
        </is>
      </c>
      <c r="P1592" t="inlineStr">
        <is>
          <t>deposited</t>
        </is>
      </c>
      <c r="Q1592" t="inlineStr"/>
      <c r="R1592" t="inlineStr"/>
      <c r="S1592" t="inlineStr"/>
    </row>
    <row r="1593">
      <c r="A1593" t="inlineStr">
        <is>
          <t>EMD-1955</t>
        </is>
      </c>
      <c r="B1593" t="inlineStr">
        <is>
          <t>non-amyloid</t>
        </is>
      </c>
      <c r="C1593" t="n">
        <v>27</v>
      </c>
      <c r="D1593" t="n">
        <v>8.6</v>
      </c>
      <c r="E1593" t="n">
        <v>96.90000000000001</v>
      </c>
      <c r="F1593" t="inlineStr"/>
      <c r="G1593" t="inlineStr">
        <is>
          <t>8.580999653</t>
        </is>
      </c>
      <c r="H1593" t="n">
        <v>96.74855148</v>
      </c>
      <c r="I1593" t="inlineStr">
        <is>
          <t>Cnan</t>
        </is>
      </c>
      <c r="J1593" t="n">
        <v>0.0223967663982014</v>
      </c>
      <c r="K1593" t="inlineStr"/>
      <c r="L1593" t="n">
        <v>0.96904</v>
      </c>
      <c r="M1593" t="n">
        <v>0.9793253709999999</v>
      </c>
      <c r="N1593" t="inlineStr">
        <is>
          <t>Yes</t>
        </is>
      </c>
      <c r="O1593" t="inlineStr">
        <is>
          <t>improve</t>
        </is>
      </c>
      <c r="P1593" t="inlineStr">
        <is>
          <t>adjusted decimals</t>
        </is>
      </c>
      <c r="Q1593" t="inlineStr"/>
      <c r="R1593" t="inlineStr"/>
      <c r="S1593" t="inlineStr"/>
    </row>
    <row r="1594">
      <c r="A1594" t="inlineStr">
        <is>
          <t>EMD-3814</t>
        </is>
      </c>
      <c r="B1594" t="inlineStr">
        <is>
          <t>non-amyloid</t>
        </is>
      </c>
      <c r="C1594" t="n">
        <v>27</v>
      </c>
      <c r="D1594" t="n">
        <v>28.1</v>
      </c>
      <c r="E1594" t="n">
        <v>47.62</v>
      </c>
      <c r="F1594" t="inlineStr">
        <is>
          <t>D1</t>
        </is>
      </c>
      <c r="G1594" t="inlineStr">
        <is>
          <t>28.1</t>
        </is>
      </c>
      <c r="H1594" t="n">
        <v>47.62</v>
      </c>
      <c r="I1594" t="inlineStr">
        <is>
          <t>CD1</t>
        </is>
      </c>
      <c r="J1594" t="n">
        <v>0</v>
      </c>
      <c r="K1594" t="inlineStr"/>
      <c r="L1594" t="n">
        <v>0.99763</v>
      </c>
      <c r="M1594" t="n">
        <v>0.99763</v>
      </c>
      <c r="N1594" t="inlineStr">
        <is>
          <t>Yes</t>
        </is>
      </c>
      <c r="O1594" t="inlineStr">
        <is>
          <t>equal</t>
        </is>
      </c>
      <c r="P1594" t="inlineStr">
        <is>
          <t>deposited</t>
        </is>
      </c>
      <c r="Q1594" t="inlineStr"/>
      <c r="R1594" t="inlineStr"/>
      <c r="S1594">
        <f>HYPERLINK("https://helical-indexing-hi3d.streamlit.app/?emd_id=emd-3814&amp;rise=28.1&amp;twist=47.62&amp;csym=D1&amp;rise2=28.1&amp;twist2=47.62&amp;csym2=1", "Link")</f>
        <v/>
      </c>
    </row>
    <row r="1595">
      <c r="A1595" t="inlineStr">
        <is>
          <t>EMD-2415</t>
        </is>
      </c>
      <c r="B1595" t="inlineStr">
        <is>
          <t>non-amyloid</t>
        </is>
      </c>
      <c r="C1595" t="n">
        <v>28</v>
      </c>
      <c r="D1595" t="n">
        <v>5.16</v>
      </c>
      <c r="E1595" t="n">
        <v>56.5</v>
      </c>
      <c r="F1595" t="inlineStr"/>
      <c r="G1595" t="inlineStr">
        <is>
          <t>5.149753127</t>
        </is>
      </c>
      <c r="H1595" t="n">
        <v>-56.57972764</v>
      </c>
      <c r="I1595" t="inlineStr">
        <is>
          <t>Cnan</t>
        </is>
      </c>
      <c r="J1595" t="n">
        <v>16.37222678220136</v>
      </c>
      <c r="K1595" t="inlineStr">
        <is>
          <t> </t>
        </is>
      </c>
      <c r="L1595" t="n">
        <v>0.71599</v>
      </c>
      <c r="M1595" t="n">
        <v>0.960420872</v>
      </c>
      <c r="N1595" t="inlineStr">
        <is>
          <t>Yes</t>
        </is>
      </c>
      <c r="O1595" t="inlineStr">
        <is>
          <t>improve</t>
        </is>
      </c>
      <c r="P1595" t="inlineStr">
        <is>
          <t>twist sign</t>
        </is>
      </c>
      <c r="Q1595" t="inlineStr"/>
      <c r="R1595" t="inlineStr"/>
      <c r="S1595" t="inlineStr"/>
    </row>
    <row r="1596">
      <c r="A1596" t="inlineStr">
        <is>
          <t>EMD-5027</t>
        </is>
      </c>
      <c r="B1596" t="inlineStr">
        <is>
          <t>microtubule</t>
        </is>
      </c>
      <c r="C1596" t="n">
        <v>28</v>
      </c>
      <c r="D1596" t="inlineStr"/>
      <c r="E1596" t="inlineStr"/>
      <c r="F1596" t="inlineStr"/>
      <c r="G1596" t="inlineStr">
        <is>
          <t>10.93448909</t>
        </is>
      </c>
      <c r="H1596" t="n">
        <v>-23.64836198</v>
      </c>
      <c r="I1596" t="inlineStr">
        <is>
          <t>Cnan</t>
        </is>
      </c>
      <c r="J1596" t="inlineStr"/>
      <c r="K1596" t="inlineStr">
        <is>
          <t> </t>
        </is>
      </c>
      <c r="L1596" t="inlineStr"/>
      <c r="M1596" t="n">
        <v>0.95289398</v>
      </c>
      <c r="N1596" t="inlineStr">
        <is>
          <t>Yes</t>
        </is>
      </c>
      <c r="O1596" t="inlineStr">
        <is>
          <t>improve</t>
        </is>
      </c>
      <c r="P1596" t="inlineStr">
        <is>
          <t>no EMDB values</t>
        </is>
      </c>
      <c r="Q1596" t="inlineStr"/>
      <c r="R1596" t="inlineStr"/>
      <c r="S1596" t="inlineStr"/>
    </row>
    <row r="1597">
      <c r="A1597" t="inlineStr">
        <is>
          <t>EMD-32630</t>
        </is>
      </c>
      <c r="B1597" t="inlineStr">
        <is>
          <t>microtubule</t>
        </is>
      </c>
      <c r="C1597" t="n">
        <v>28.82</v>
      </c>
      <c r="D1597" t="n">
        <v>29.05</v>
      </c>
      <c r="E1597" t="n">
        <v>-102.853</v>
      </c>
      <c r="F1597" t="inlineStr">
        <is>
          <t>C1</t>
        </is>
      </c>
      <c r="G1597" t="inlineStr"/>
      <c r="H1597" t="inlineStr"/>
      <c r="I1597" t="inlineStr">
        <is>
          <t>C1</t>
        </is>
      </c>
      <c r="J1597" t="inlineStr"/>
      <c r="K1597" t="inlineStr"/>
      <c r="L1597" t="inlineStr"/>
      <c r="M1597" t="inlineStr"/>
      <c r="N1597" t="inlineStr">
        <is>
          <t>Excluded</t>
        </is>
      </c>
      <c r="O1597" t="inlineStr"/>
      <c r="P1597" t="inlineStr">
        <is>
          <t>single unit</t>
        </is>
      </c>
      <c r="Q1597" t="inlineStr"/>
      <c r="R1597" t="inlineStr"/>
      <c r="S1597">
        <f>HYPERLINK("https://helical-indexing-hi3d.streamlit.app/?emd_id=emd-32630&amp;rise=nan&amp;twist=nan&amp;csym=1&amp;rise2=29.05&amp;twist2=-102.853&amp;csym2=1", "Link")</f>
        <v/>
      </c>
    </row>
    <row r="1598">
      <c r="A1598" t="inlineStr">
        <is>
          <t>EMD-1613</t>
        </is>
      </c>
      <c r="B1598" t="inlineStr">
        <is>
          <t>non-amyloid</t>
        </is>
      </c>
      <c r="C1598" t="n">
        <v>29</v>
      </c>
      <c r="D1598" t="n">
        <v>57.75</v>
      </c>
      <c r="E1598" t="n">
        <v>7.04</v>
      </c>
      <c r="F1598" t="inlineStr"/>
      <c r="G1598" t="inlineStr">
        <is>
          <t>57.53</t>
        </is>
      </c>
      <c r="H1598" t="n">
        <v>-8.98</v>
      </c>
      <c r="I1598" t="inlineStr">
        <is>
          <t>Cnan</t>
        </is>
      </c>
      <c r="J1598" t="n">
        <v>1.371390513865664</v>
      </c>
      <c r="K1598" t="inlineStr"/>
      <c r="L1598" t="n">
        <v>0.40708</v>
      </c>
      <c r="M1598" t="n">
        <v>0.857195759</v>
      </c>
      <c r="N1598" t="inlineStr">
        <is>
          <t>Yes</t>
        </is>
      </c>
      <c r="O1598" t="inlineStr">
        <is>
          <t>improve</t>
        </is>
      </c>
      <c r="P1598" t="inlineStr">
        <is>
          <t>twist sign</t>
        </is>
      </c>
      <c r="Q1598" t="inlineStr"/>
      <c r="R1598" t="inlineStr"/>
      <c r="S1598" t="inlineStr"/>
    </row>
    <row r="1599">
      <c r="A1599" t="inlineStr">
        <is>
          <t>EMD-6182</t>
        </is>
      </c>
      <c r="B1599" t="inlineStr">
        <is>
          <t>non-amyloid</t>
        </is>
      </c>
      <c r="C1599" t="n">
        <v>29</v>
      </c>
      <c r="D1599" t="n">
        <v>23.5</v>
      </c>
      <c r="E1599" t="n">
        <v>68.5</v>
      </c>
      <c r="F1599" t="inlineStr">
        <is>
          <t>C2</t>
        </is>
      </c>
      <c r="G1599" t="inlineStr">
        <is>
          <t>22.71709666</t>
        </is>
      </c>
      <c r="H1599" t="n">
        <v>-67.58629941</v>
      </c>
      <c r="I1599" t="inlineStr">
        <is>
          <t>C2</t>
        </is>
      </c>
      <c r="J1599" t="n">
        <v>4.609188214201796</v>
      </c>
      <c r="K1599" t="inlineStr">
        <is>
          <t> </t>
        </is>
      </c>
      <c r="L1599" t="n">
        <v>0.7924600000000001</v>
      </c>
      <c r="M1599" t="n">
        <v>0.989016937</v>
      </c>
      <c r="N1599" t="inlineStr">
        <is>
          <t>Yes</t>
        </is>
      </c>
      <c r="O1599" t="inlineStr">
        <is>
          <t>improve</t>
        </is>
      </c>
      <c r="P1599" t="inlineStr">
        <is>
          <t>twist sign</t>
        </is>
      </c>
      <c r="Q1599" t="inlineStr"/>
      <c r="R1599" t="inlineStr"/>
      <c r="S1599">
        <f>HYPERLINK("https://helical-indexing-hi3d.streamlit.app/?emd_id=emd-6182&amp;rise=22.71709666&amp;twist=-67.58629941&amp;csym=2&amp;rise2=23.5&amp;twist2=68.5&amp;csym2=2", "Link")</f>
        <v/>
      </c>
    </row>
    <row r="1600">
      <c r="A1600" t="inlineStr">
        <is>
          <t>EMD-6183</t>
        </is>
      </c>
      <c r="B1600" t="inlineStr">
        <is>
          <t>non-amyloid</t>
        </is>
      </c>
      <c r="C1600" t="n">
        <v>29</v>
      </c>
      <c r="D1600" t="n">
        <v>12.5</v>
      </c>
      <c r="E1600" t="n">
        <v>81</v>
      </c>
      <c r="F1600" t="inlineStr">
        <is>
          <t>C1</t>
        </is>
      </c>
      <c r="G1600" t="inlineStr">
        <is>
          <t>13.95309999</t>
        </is>
      </c>
      <c r="H1600" t="n">
        <v>-81.49560528000001</v>
      </c>
      <c r="I1600" t="inlineStr">
        <is>
          <t>C1</t>
        </is>
      </c>
      <c r="J1600" t="n">
        <v>13.58995109</v>
      </c>
      <c r="K1600" t="inlineStr">
        <is>
          <t> </t>
        </is>
      </c>
      <c r="L1600" t="n">
        <v>0.89537</v>
      </c>
      <c r="M1600" t="n">
        <v>0.933090651</v>
      </c>
      <c r="N1600" t="inlineStr">
        <is>
          <t>Yes</t>
        </is>
      </c>
      <c r="O1600" t="inlineStr">
        <is>
          <t>improve</t>
        </is>
      </c>
      <c r="P1600" t="inlineStr">
        <is>
          <t>twist sign</t>
        </is>
      </c>
      <c r="Q1600" t="inlineStr"/>
      <c r="R1600" t="inlineStr"/>
      <c r="S1600">
        <f>HYPERLINK("https://helical-indexing-hi3d.streamlit.app/?emd_id=emd-6183&amp;rise=13.95309999&amp;twist=-81.49560528&amp;csym=1&amp;rise2=12.5&amp;twist2=81.0&amp;csym2=1", "Link")</f>
        <v/>
      </c>
    </row>
    <row r="1601">
      <c r="A1601" t="inlineStr">
        <is>
          <t>EMD-1866</t>
        </is>
      </c>
      <c r="B1601" t="inlineStr">
        <is>
          <t>non-amyloid</t>
        </is>
      </c>
      <c r="C1601" t="n">
        <v>29</v>
      </c>
      <c r="D1601" t="n">
        <v>5.2</v>
      </c>
      <c r="E1601" t="n">
        <v>136</v>
      </c>
      <c r="F1601" t="inlineStr">
        <is>
          <t>C1</t>
        </is>
      </c>
      <c r="G1601" t="inlineStr">
        <is>
          <t>5.2</t>
        </is>
      </c>
      <c r="H1601" t="n">
        <v>-136</v>
      </c>
      <c r="I1601" t="inlineStr">
        <is>
          <t>C1</t>
        </is>
      </c>
      <c r="J1601" t="n">
        <v>4.417791437066898</v>
      </c>
      <c r="K1601" t="inlineStr"/>
      <c r="L1601" t="n">
        <v>0.58745</v>
      </c>
      <c r="M1601" t="n">
        <v>0.881008307</v>
      </c>
      <c r="N1601" t="inlineStr">
        <is>
          <t>Yes</t>
        </is>
      </c>
      <c r="O1601" t="inlineStr">
        <is>
          <t>improve</t>
        </is>
      </c>
      <c r="P1601" t="inlineStr">
        <is>
          <t>twist sign</t>
        </is>
      </c>
      <c r="Q1601" t="inlineStr"/>
      <c r="R1601" t="inlineStr"/>
      <c r="S1601">
        <f>HYPERLINK("https://helical-indexing-hi3d.streamlit.app/?emd_id=emd-1866&amp;rise=5.2&amp;twist=-136.0&amp;csym=1&amp;rise2=5.2&amp;twist2=136.0&amp;csym2=1", "Link")</f>
        <v/>
      </c>
    </row>
    <row r="1602">
      <c r="A1602" t="inlineStr">
        <is>
          <t>EMD-1868</t>
        </is>
      </c>
      <c r="B1602" t="inlineStr">
        <is>
          <t>non-amyloid</t>
        </is>
      </c>
      <c r="C1602" t="n">
        <v>29</v>
      </c>
      <c r="D1602" t="n">
        <v>5.1</v>
      </c>
      <c r="E1602" t="n">
        <v>49.4</v>
      </c>
      <c r="F1602" t="inlineStr">
        <is>
          <t>C1</t>
        </is>
      </c>
      <c r="G1602" t="inlineStr">
        <is>
          <t>5.1</t>
        </is>
      </c>
      <c r="H1602" t="n">
        <v>49.4</v>
      </c>
      <c r="I1602" t="inlineStr">
        <is>
          <t>C1</t>
        </is>
      </c>
      <c r="J1602" t="n">
        <v>0</v>
      </c>
      <c r="K1602" t="inlineStr"/>
      <c r="L1602" t="n">
        <v>0.90437</v>
      </c>
      <c r="M1602" t="n">
        <v>0.90437</v>
      </c>
      <c r="N1602" t="inlineStr">
        <is>
          <t>Yes</t>
        </is>
      </c>
      <c r="O1602" t="inlineStr">
        <is>
          <t>equal</t>
        </is>
      </c>
      <c r="P1602" t="inlineStr">
        <is>
          <t>deposited</t>
        </is>
      </c>
      <c r="Q1602" t="inlineStr"/>
      <c r="R1602" t="inlineStr"/>
      <c r="S1602">
        <f>HYPERLINK("https://helical-indexing-hi3d.streamlit.app/?emd_id=emd-1868&amp;rise=5.1&amp;twist=49.4&amp;csym=1&amp;rise2=5.1&amp;twist2=49.4&amp;csym2=1", "Link")</f>
        <v/>
      </c>
    </row>
    <row r="1603">
      <c r="A1603" t="inlineStr">
        <is>
          <t>EMD-1371</t>
        </is>
      </c>
      <c r="B1603" t="inlineStr">
        <is>
          <t>non-amyloid</t>
        </is>
      </c>
      <c r="C1603" t="n">
        <v>30</v>
      </c>
      <c r="D1603" t="n">
        <v>10.2</v>
      </c>
      <c r="E1603" t="n">
        <v>24.7</v>
      </c>
      <c r="F1603" t="inlineStr">
        <is>
          <t>D2</t>
        </is>
      </c>
      <c r="G1603" t="inlineStr">
        <is>
          <t>9.678144871</t>
        </is>
      </c>
      <c r="H1603" t="n">
        <v>-23.02098273</v>
      </c>
      <c r="I1603" t="inlineStr">
        <is>
          <t>C2</t>
        </is>
      </c>
      <c r="J1603" t="n">
        <v>69.39614957572127</v>
      </c>
      <c r="K1603" t="inlineStr"/>
      <c r="L1603" t="n">
        <v>0.17771</v>
      </c>
      <c r="M1603" t="n">
        <v>0.947996692</v>
      </c>
      <c r="N1603" t="inlineStr">
        <is>
          <t>Yes</t>
        </is>
      </c>
      <c r="O1603" t="inlineStr">
        <is>
          <t>improve</t>
        </is>
      </c>
      <c r="P1603" t="inlineStr">
        <is>
          <t>twist sign</t>
        </is>
      </c>
      <c r="Q1603" t="inlineStr"/>
      <c r="R1603" t="inlineStr"/>
      <c r="S1603">
        <f>HYPERLINK("https://helical-indexing-hi3d.streamlit.app/?emd_id=emd-1371&amp;rise=9.678144871&amp;twist=-23.02098273&amp;csym=2&amp;rise2=10.2&amp;twist2=24.7&amp;csym2=2", "Link")</f>
        <v/>
      </c>
    </row>
    <row r="1604">
      <c r="A1604" t="inlineStr">
        <is>
          <t>EMD-5212</t>
        </is>
      </c>
      <c r="B1604" t="inlineStr">
        <is>
          <t>non-amyloid</t>
        </is>
      </c>
      <c r="C1604" t="n">
        <v>30</v>
      </c>
      <c r="D1604" t="inlineStr"/>
      <c r="E1604" t="inlineStr"/>
      <c r="F1604" t="inlineStr"/>
      <c r="G1604" t="inlineStr">
        <is>
          <t>11.22707877</t>
        </is>
      </c>
      <c r="H1604" t="n">
        <v>-23.6564162</v>
      </c>
      <c r="I1604" t="inlineStr">
        <is>
          <t>Cnan</t>
        </is>
      </c>
      <c r="J1604" t="inlineStr"/>
      <c r="K1604" t="inlineStr">
        <is>
          <t> </t>
        </is>
      </c>
      <c r="L1604" t="inlineStr"/>
      <c r="M1604" t="n">
        <v>0.961508222</v>
      </c>
      <c r="N1604" t="inlineStr">
        <is>
          <t>Yes</t>
        </is>
      </c>
      <c r="O1604" t="inlineStr">
        <is>
          <t>improve</t>
        </is>
      </c>
      <c r="P1604" t="inlineStr">
        <is>
          <t>no EMDB values</t>
        </is>
      </c>
      <c r="Q1604" t="inlineStr"/>
      <c r="R1604" t="inlineStr"/>
      <c r="S1604" t="inlineStr"/>
    </row>
    <row r="1605">
      <c r="A1605" t="inlineStr">
        <is>
          <t>EMD-1867</t>
        </is>
      </c>
      <c r="B1605" t="inlineStr">
        <is>
          <t>non-amyloid</t>
        </is>
      </c>
      <c r="C1605" t="n">
        <v>31</v>
      </c>
      <c r="D1605" t="n">
        <v>4.9</v>
      </c>
      <c r="E1605" t="n">
        <v>80.8</v>
      </c>
      <c r="F1605" t="inlineStr">
        <is>
          <t>C1</t>
        </is>
      </c>
      <c r="G1605" t="inlineStr">
        <is>
          <t>4.952153715</t>
        </is>
      </c>
      <c r="H1605" t="n">
        <v>-80.87694906</v>
      </c>
      <c r="I1605" t="inlineStr">
        <is>
          <t>C1</t>
        </is>
      </c>
      <c r="J1605" t="n">
        <v>79.77017869461109</v>
      </c>
      <c r="K1605" t="inlineStr">
        <is>
          <t> </t>
        </is>
      </c>
      <c r="L1605" t="n">
        <v>0.43815</v>
      </c>
      <c r="M1605" t="n">
        <v>0.884960276</v>
      </c>
      <c r="N1605" t="inlineStr">
        <is>
          <t>Yes</t>
        </is>
      </c>
      <c r="O1605" t="inlineStr">
        <is>
          <t>improve</t>
        </is>
      </c>
      <c r="P1605" t="inlineStr">
        <is>
          <t>twist sign</t>
        </is>
      </c>
      <c r="Q1605" t="inlineStr"/>
      <c r="R1605" t="inlineStr"/>
      <c r="S1605">
        <f>HYPERLINK("https://helical-indexing-hi3d.streamlit.app/?emd_id=emd-1867&amp;rise=4.952153715&amp;twist=-80.87694906&amp;csym=1&amp;rise2=4.9&amp;twist2=80.8&amp;csym2=1", "Link")</f>
        <v/>
      </c>
    </row>
    <row r="1606">
      <c r="A1606" t="inlineStr">
        <is>
          <t>EMD-1536</t>
        </is>
      </c>
      <c r="B1606" t="inlineStr">
        <is>
          <t>non-amyloid</t>
        </is>
      </c>
      <c r="C1606" t="n">
        <v>32</v>
      </c>
      <c r="D1606" t="n">
        <v>32</v>
      </c>
      <c r="E1606" t="n">
        <v>21.71</v>
      </c>
      <c r="F1606" t="inlineStr"/>
      <c r="G1606" t="inlineStr">
        <is>
          <t>32</t>
        </is>
      </c>
      <c r="H1606" t="n">
        <v>21.71</v>
      </c>
      <c r="I1606" t="inlineStr">
        <is>
          <t>Cnan</t>
        </is>
      </c>
      <c r="J1606" t="n">
        <v>0</v>
      </c>
      <c r="K1606" t="inlineStr"/>
      <c r="L1606" t="n">
        <v>0.97477</v>
      </c>
      <c r="M1606" t="n">
        <v>0.97477</v>
      </c>
      <c r="N1606" t="inlineStr">
        <is>
          <t>Yes</t>
        </is>
      </c>
      <c r="O1606" t="inlineStr">
        <is>
          <t>equal</t>
        </is>
      </c>
      <c r="P1606" t="inlineStr">
        <is>
          <t>deposited</t>
        </is>
      </c>
      <c r="Q1606" t="inlineStr"/>
      <c r="R1606" t="inlineStr"/>
      <c r="S1606" t="inlineStr"/>
    </row>
    <row r="1607">
      <c r="A1607" t="inlineStr">
        <is>
          <t>EMD-1465</t>
        </is>
      </c>
      <c r="B1607" t="inlineStr">
        <is>
          <t>non-amyloid</t>
        </is>
      </c>
      <c r="C1607" t="n">
        <v>32</v>
      </c>
      <c r="D1607" t="inlineStr"/>
      <c r="E1607" t="inlineStr"/>
      <c r="F1607" t="inlineStr">
        <is>
          <t>C3</t>
        </is>
      </c>
      <c r="G1607" t="inlineStr"/>
      <c r="H1607" t="inlineStr"/>
      <c r="I1607" t="inlineStr">
        <is>
          <t>C1</t>
        </is>
      </c>
      <c r="J1607" t="inlineStr"/>
      <c r="K1607" t="inlineStr"/>
      <c r="L1607" t="inlineStr"/>
      <c r="M1607" t="inlineStr"/>
      <c r="N1607" t="inlineStr">
        <is>
          <t>Excluded</t>
        </is>
      </c>
      <c r="O1607" t="inlineStr"/>
      <c r="P1607" t="inlineStr">
        <is>
          <t>single unit</t>
        </is>
      </c>
      <c r="Q1607" t="inlineStr">
        <is>
          <t>check</t>
        </is>
      </c>
      <c r="R1607" t="inlineStr"/>
      <c r="S1607">
        <f>HYPERLINK("https://helical-indexing-hi3d.streamlit.app/?emd_id=emd-1465&amp;rise=nan&amp;twist=nan&amp;csym=1&amp;rise2=nan&amp;twist2=nan&amp;csym2=3", "Link")</f>
        <v/>
      </c>
    </row>
    <row r="1608">
      <c r="A1608" t="inlineStr">
        <is>
          <t>EMD-1760</t>
        </is>
      </c>
      <c r="B1608" t="inlineStr">
        <is>
          <t>non-amyloid</t>
        </is>
      </c>
      <c r="C1608" t="n">
        <v>35</v>
      </c>
      <c r="D1608" t="inlineStr"/>
      <c r="E1608" t="inlineStr"/>
      <c r="F1608" t="inlineStr">
        <is>
          <t>C2</t>
        </is>
      </c>
      <c r="G1608" t="inlineStr">
        <is>
          <t>45.91249366</t>
        </is>
      </c>
      <c r="H1608" t="n">
        <v>-22.79678232</v>
      </c>
      <c r="I1608" t="inlineStr">
        <is>
          <t>C2</t>
        </is>
      </c>
      <c r="J1608" t="inlineStr"/>
      <c r="K1608" t="inlineStr">
        <is>
          <t> </t>
        </is>
      </c>
      <c r="L1608" t="inlineStr"/>
      <c r="M1608" t="n">
        <v>0.9444000380000001</v>
      </c>
      <c r="N1608" t="inlineStr">
        <is>
          <t>Yes</t>
        </is>
      </c>
      <c r="O1608" t="inlineStr">
        <is>
          <t>improve</t>
        </is>
      </c>
      <c r="P1608" t="inlineStr">
        <is>
          <t>no EMDB values</t>
        </is>
      </c>
      <c r="Q1608" t="inlineStr"/>
      <c r="R1608" t="inlineStr"/>
      <c r="S1608">
        <f>HYPERLINK("https://helical-indexing-hi3d.streamlit.app/?emd_id=emd-1760&amp;rise=45.91249366&amp;twist=-22.79678232&amp;csym=2&amp;rise2=nan&amp;twist2=nan&amp;csym2=2", "Link")</f>
        <v/>
      </c>
    </row>
    <row r="1609">
      <c r="A1609" t="inlineStr">
        <is>
          <t>EMD-1759</t>
        </is>
      </c>
      <c r="B1609" t="inlineStr">
        <is>
          <t>non-amyloid</t>
        </is>
      </c>
      <c r="C1609" t="n">
        <v>35</v>
      </c>
      <c r="D1609" t="inlineStr"/>
      <c r="E1609" t="inlineStr"/>
      <c r="F1609" t="inlineStr">
        <is>
          <t>C2</t>
        </is>
      </c>
      <c r="G1609" t="inlineStr">
        <is>
          <t>89.49999996</t>
        </is>
      </c>
      <c r="H1609" t="n">
        <v>-44.72872367</v>
      </c>
      <c r="I1609" t="inlineStr">
        <is>
          <t>C2</t>
        </is>
      </c>
      <c r="J1609" t="inlineStr"/>
      <c r="K1609" t="inlineStr">
        <is>
          <t> </t>
        </is>
      </c>
      <c r="L1609" t="inlineStr"/>
      <c r="M1609" t="n">
        <v>0.920556115</v>
      </c>
      <c r="N1609" t="inlineStr">
        <is>
          <t>Yes</t>
        </is>
      </c>
      <c r="O1609" t="inlineStr">
        <is>
          <t>improve</t>
        </is>
      </c>
      <c r="P1609" t="inlineStr">
        <is>
          <t>no EMDB values</t>
        </is>
      </c>
      <c r="Q1609" t="inlineStr"/>
      <c r="R1609" t="inlineStr"/>
      <c r="S1609">
        <f>HYPERLINK("https://helical-indexing-hi3d.streamlit.app/?emd_id=emd-1759&amp;rise=89.49999996&amp;twist=-44.72872367&amp;csym=2&amp;rise2=nan&amp;twist2=nan&amp;csym2=2", "Link")</f>
        <v/>
      </c>
    </row>
    <row r="1610">
      <c r="A1610" t="inlineStr">
        <is>
          <t>EMD-1758</t>
        </is>
      </c>
      <c r="B1610" t="inlineStr">
        <is>
          <t>non-amyloid</t>
        </is>
      </c>
      <c r="C1610" t="n">
        <v>35</v>
      </c>
      <c r="D1610" t="inlineStr"/>
      <c r="E1610" t="inlineStr"/>
      <c r="F1610" t="inlineStr">
        <is>
          <t>C2</t>
        </is>
      </c>
      <c r="G1610" t="inlineStr">
        <is>
          <t>47.93395426</t>
        </is>
      </c>
      <c r="H1610" t="n">
        <v>-33.86953978</v>
      </c>
      <c r="I1610" t="inlineStr">
        <is>
          <t>C2</t>
        </is>
      </c>
      <c r="J1610" t="inlineStr"/>
      <c r="K1610" t="inlineStr">
        <is>
          <t> </t>
        </is>
      </c>
      <c r="L1610" t="inlineStr"/>
      <c r="M1610" t="n">
        <v>0.969426747</v>
      </c>
      <c r="N1610" t="inlineStr">
        <is>
          <t>Yes</t>
        </is>
      </c>
      <c r="O1610" t="inlineStr">
        <is>
          <t>improve</t>
        </is>
      </c>
      <c r="P1610" t="inlineStr">
        <is>
          <t>no EMDB values</t>
        </is>
      </c>
      <c r="Q1610" t="inlineStr"/>
      <c r="R1610" t="inlineStr"/>
      <c r="S1610">
        <f>HYPERLINK("https://helical-indexing-hi3d.streamlit.app/?emd_id=emd-1758&amp;rise=47.93395426&amp;twist=-33.86953978&amp;csym=2&amp;rise2=nan&amp;twist2=nan&amp;csym2=2", "Link")</f>
        <v/>
      </c>
    </row>
    <row r="1611">
      <c r="A1611" t="inlineStr">
        <is>
          <t>EMD-1757</t>
        </is>
      </c>
      <c r="B1611" t="inlineStr">
        <is>
          <t>non-amyloid</t>
        </is>
      </c>
      <c r="C1611" t="n">
        <v>35</v>
      </c>
      <c r="D1611" t="inlineStr"/>
      <c r="E1611" t="inlineStr"/>
      <c r="F1611" t="inlineStr">
        <is>
          <t>C2</t>
        </is>
      </c>
      <c r="G1611" t="inlineStr">
        <is>
          <t>42.8602332</t>
        </is>
      </c>
      <c r="H1611" t="n">
        <v>-21.7453142</v>
      </c>
      <c r="I1611" t="inlineStr">
        <is>
          <t>C2</t>
        </is>
      </c>
      <c r="J1611" t="inlineStr"/>
      <c r="K1611" t="inlineStr">
        <is>
          <t> </t>
        </is>
      </c>
      <c r="L1611" t="inlineStr"/>
      <c r="M1611" t="n">
        <v>0.971424918</v>
      </c>
      <c r="N1611" t="inlineStr">
        <is>
          <t>Yes</t>
        </is>
      </c>
      <c r="O1611" t="inlineStr">
        <is>
          <t>improve</t>
        </is>
      </c>
      <c r="P1611" t="inlineStr">
        <is>
          <t>no EMDB values</t>
        </is>
      </c>
      <c r="Q1611" t="inlineStr"/>
      <c r="R1611" t="inlineStr"/>
      <c r="S1611">
        <f>HYPERLINK("https://helical-indexing-hi3d.streamlit.app/?emd_id=emd-1757&amp;rise=42.8602332&amp;twist=-21.7453142&amp;csym=2&amp;rise2=nan&amp;twist2=nan&amp;csym2=2", "Link")</f>
        <v/>
      </c>
    </row>
    <row r="1612">
      <c r="A1612" t="inlineStr">
        <is>
          <t>EMD-1581</t>
        </is>
      </c>
      <c r="B1612" t="inlineStr">
        <is>
          <t>microtubule</t>
        </is>
      </c>
      <c r="C1612" t="n">
        <v>35</v>
      </c>
      <c r="D1612" t="inlineStr"/>
      <c r="E1612" t="inlineStr"/>
      <c r="F1612" t="inlineStr"/>
      <c r="G1612" t="inlineStr">
        <is>
          <t>7.219158865</t>
        </is>
      </c>
      <c r="H1612" t="n">
        <v>-14.75699487</v>
      </c>
      <c r="I1612" t="inlineStr">
        <is>
          <t xml:space="preserve">C1 </t>
        </is>
      </c>
      <c r="J1612" t="inlineStr"/>
      <c r="K1612" t="inlineStr">
        <is>
          <t> </t>
        </is>
      </c>
      <c r="L1612" t="inlineStr"/>
      <c r="M1612" t="n">
        <v>0.810507516</v>
      </c>
      <c r="N1612" t="inlineStr">
        <is>
          <t>Yes</t>
        </is>
      </c>
      <c r="O1612" t="inlineStr">
        <is>
          <t>improve</t>
        </is>
      </c>
      <c r="P1612" t="inlineStr">
        <is>
          <t>no EMDB values</t>
        </is>
      </c>
      <c r="Q1612" t="inlineStr"/>
      <c r="R1612" t="inlineStr"/>
      <c r="S1612" t="inlineStr"/>
    </row>
    <row r="1613">
      <c r="A1613" t="inlineStr">
        <is>
          <t>EMD-16436</t>
        </is>
      </c>
      <c r="B1613" t="inlineStr">
        <is>
          <t>microtubule</t>
        </is>
      </c>
      <c r="C1613" t="n">
        <v>36.9</v>
      </c>
      <c r="D1613" t="n">
        <v>9.609999999999999</v>
      </c>
      <c r="E1613" t="n">
        <v>-27.676</v>
      </c>
      <c r="F1613" t="inlineStr">
        <is>
          <t>C1</t>
        </is>
      </c>
      <c r="G1613" t="inlineStr">
        <is>
          <t>3.96</t>
        </is>
      </c>
      <c r="H1613" t="n">
        <v>-13.74</v>
      </c>
      <c r="I1613" t="inlineStr">
        <is>
          <t>C1</t>
        </is>
      </c>
      <c r="J1613" t="n">
        <v>6.513853110370546</v>
      </c>
      <c r="K1613" t="inlineStr"/>
      <c r="L1613" t="n">
        <v>0.6284</v>
      </c>
      <c r="M1613" t="n">
        <v>0.8284</v>
      </c>
      <c r="N1613" t="inlineStr">
        <is>
          <t>No</t>
        </is>
      </c>
      <c r="O1613" t="inlineStr">
        <is>
          <t>improve</t>
        </is>
      </c>
      <c r="P1613" t="inlineStr">
        <is>
          <t>different</t>
        </is>
      </c>
      <c r="Q1613" t="inlineStr"/>
      <c r="R1613" t="inlineStr"/>
      <c r="S1613">
        <f>HYPERLINK("https://helical-indexing-hi3d.streamlit.app/?emd_id=emd-16436&amp;rise=3.96&amp;twist=-13.74&amp;csym=1&amp;rise2=9.61&amp;twist2=-27.676&amp;csym2=1", "Link")</f>
        <v/>
      </c>
    </row>
    <row r="1614">
      <c r="A1614" t="inlineStr">
        <is>
          <t>EMD-32629</t>
        </is>
      </c>
      <c r="B1614" t="inlineStr">
        <is>
          <t>microtubule</t>
        </is>
      </c>
      <c r="C1614" t="n">
        <v>37.17</v>
      </c>
      <c r="D1614" t="n">
        <v>36.7432</v>
      </c>
      <c r="E1614" t="n">
        <v>-72.616</v>
      </c>
      <c r="F1614" t="inlineStr">
        <is>
          <t>C1</t>
        </is>
      </c>
      <c r="G1614" t="inlineStr">
        <is>
          <t>36.2133</t>
        </is>
      </c>
      <c r="H1614" t="n">
        <v>-72.093</v>
      </c>
      <c r="I1614" t="inlineStr">
        <is>
          <t>C1</t>
        </is>
      </c>
      <c r="J1614" t="n">
        <v>0.6979588432432722</v>
      </c>
      <c r="K1614" t="inlineStr"/>
      <c r="L1614" t="n">
        <v>0.933163505</v>
      </c>
      <c r="M1614" t="n">
        <v>0.93665</v>
      </c>
      <c r="N1614" t="inlineStr">
        <is>
          <t>Yes</t>
        </is>
      </c>
      <c r="O1614" t="inlineStr">
        <is>
          <t>improve</t>
        </is>
      </c>
      <c r="P1614" t="inlineStr">
        <is>
          <t>adjusted decimals</t>
        </is>
      </c>
      <c r="Q1614" t="inlineStr"/>
      <c r="R1614" t="inlineStr"/>
      <c r="S1614">
        <f>HYPERLINK("https://helical-indexing-hi3d.streamlit.app/?emd_id=emd-32629&amp;rise=36.2133&amp;twist=-72.093&amp;csym=1&amp;rise2=36.7432&amp;twist2=-72.616&amp;csym2=1", "Link")</f>
        <v/>
      </c>
    </row>
    <row r="1615">
      <c r="A1615" t="inlineStr">
        <is>
          <t>EMD-5128</t>
        </is>
      </c>
      <c r="B1615" t="inlineStr">
        <is>
          <t>non-amyloid</t>
        </is>
      </c>
      <c r="C1615" t="inlineStr"/>
      <c r="D1615" t="n">
        <v>24.3</v>
      </c>
      <c r="E1615" t="n">
        <v>165.2</v>
      </c>
      <c r="F1615" t="inlineStr"/>
      <c r="G1615" t="inlineStr">
        <is>
          <t>24.3</t>
        </is>
      </c>
      <c r="H1615" t="n">
        <v>165.2</v>
      </c>
      <c r="I1615" t="inlineStr">
        <is>
          <t>Cnan</t>
        </is>
      </c>
      <c r="J1615" t="n">
        <v>0</v>
      </c>
      <c r="K1615" t="inlineStr"/>
      <c r="L1615" t="n">
        <v>0.79657</v>
      </c>
      <c r="M1615" t="n">
        <v>0.79657</v>
      </c>
      <c r="N1615" t="inlineStr">
        <is>
          <t>Yes</t>
        </is>
      </c>
      <c r="O1615" t="inlineStr">
        <is>
          <t>equal</t>
        </is>
      </c>
      <c r="P1615" t="inlineStr">
        <is>
          <t>deposited</t>
        </is>
      </c>
      <c r="Q1615" t="inlineStr"/>
      <c r="R1615" t="inlineStr"/>
      <c r="S1615" t="inlineStr"/>
    </row>
    <row r="1616">
      <c r="A1616" t="inlineStr">
        <is>
          <t>EMD-5129</t>
        </is>
      </c>
      <c r="B1616" t="inlineStr">
        <is>
          <t>non-amyloid</t>
        </is>
      </c>
      <c r="C1616" t="inlineStr"/>
      <c r="D1616" t="n">
        <v>24.2</v>
      </c>
      <c r="E1616" t="n">
        <v>165</v>
      </c>
      <c r="F1616" t="inlineStr"/>
      <c r="G1616" t="inlineStr">
        <is>
          <t>24.2</t>
        </is>
      </c>
      <c r="H1616" t="n">
        <v>165</v>
      </c>
      <c r="I1616" t="inlineStr">
        <is>
          <t>Cnan</t>
        </is>
      </c>
      <c r="J1616" t="n">
        <v>0</v>
      </c>
      <c r="K1616" t="inlineStr"/>
      <c r="L1616" t="n">
        <v>0.79861</v>
      </c>
      <c r="M1616" t="n">
        <v>0.79861</v>
      </c>
      <c r="N1616" t="inlineStr">
        <is>
          <t>Yes</t>
        </is>
      </c>
      <c r="O1616" t="inlineStr">
        <is>
          <t>equal</t>
        </is>
      </c>
      <c r="P1616" t="inlineStr">
        <is>
          <t>deposited</t>
        </is>
      </c>
      <c r="Q1616" t="inlineStr"/>
      <c r="R1616" t="inlineStr"/>
      <c r="S1616" t="inlineStr"/>
    </row>
    <row r="1617">
      <c r="A1617" t="inlineStr">
        <is>
          <t>EMD-5007</t>
        </is>
      </c>
      <c r="B1617" t="inlineStr">
        <is>
          <t>non-amyloid</t>
        </is>
      </c>
      <c r="C1617" t="inlineStr"/>
      <c r="D1617" t="n">
        <v>7.5</v>
      </c>
      <c r="E1617" t="n">
        <v>103.11</v>
      </c>
      <c r="F1617" t="inlineStr">
        <is>
          <t>C1</t>
        </is>
      </c>
      <c r="G1617" t="inlineStr">
        <is>
          <t>7.5</t>
        </is>
      </c>
      <c r="H1617" t="n">
        <v>103.11</v>
      </c>
      <c r="I1617" t="inlineStr">
        <is>
          <t>C1</t>
        </is>
      </c>
      <c r="J1617" t="n">
        <v>0</v>
      </c>
      <c r="K1617" t="inlineStr"/>
      <c r="L1617" t="n">
        <v>0.98643</v>
      </c>
      <c r="M1617" t="n">
        <v>0.98643</v>
      </c>
      <c r="N1617" t="inlineStr">
        <is>
          <t>Yes</t>
        </is>
      </c>
      <c r="O1617" t="inlineStr">
        <is>
          <t>equal</t>
        </is>
      </c>
      <c r="P1617" t="inlineStr">
        <is>
          <t>deposited</t>
        </is>
      </c>
      <c r="Q1617" t="inlineStr"/>
      <c r="R1617" t="inlineStr"/>
      <c r="S1617">
        <f>HYPERLINK("https://helical-indexing-hi3d.streamlit.app/?emd_id=emd-5007&amp;rise=7.5&amp;twist=103.11&amp;csym=1&amp;rise2=7.5&amp;twist2=103.11&amp;csym2=1", "Link")</f>
        <v/>
      </c>
    </row>
    <row r="1618">
      <c r="A1618" t="inlineStr">
        <is>
          <t>EMD-1025</t>
        </is>
      </c>
      <c r="B1618" t="inlineStr">
        <is>
          <t>non-amyloid</t>
        </is>
      </c>
      <c r="C1618" t="inlineStr"/>
      <c r="D1618" t="inlineStr"/>
      <c r="E1618" t="inlineStr"/>
      <c r="F1618" t="inlineStr">
        <is>
          <t>C1</t>
        </is>
      </c>
      <c r="G1618" t="inlineStr">
        <is>
          <t>65.77</t>
        </is>
      </c>
      <c r="H1618" t="n">
        <v>48.05</v>
      </c>
      <c r="I1618" t="inlineStr">
        <is>
          <t>C1</t>
        </is>
      </c>
      <c r="J1618" t="inlineStr"/>
      <c r="K1618" t="inlineStr">
        <is>
          <t> </t>
        </is>
      </c>
      <c r="L1618" t="inlineStr"/>
      <c r="M1618" t="n">
        <v>0.845712549</v>
      </c>
      <c r="N1618" t="inlineStr">
        <is>
          <t>Yes</t>
        </is>
      </c>
      <c r="O1618" t="inlineStr">
        <is>
          <t>improve</t>
        </is>
      </c>
      <c r="P1618" t="inlineStr">
        <is>
          <t>no EMDB values</t>
        </is>
      </c>
      <c r="Q1618" t="inlineStr"/>
      <c r="R1618" t="inlineStr"/>
      <c r="S1618">
        <f>HYPERLINK("https://helical-indexing-hi3d.streamlit.app/?emd_id=emd-1025&amp;rise=65.77&amp;twist=48.05&amp;csym=1&amp;rise2=nan&amp;twist2=nan&amp;csym2=1", "Link")</f>
        <v/>
      </c>
    </row>
    <row r="1619">
      <c r="A1619" t="inlineStr">
        <is>
          <t>EMD-1026</t>
        </is>
      </c>
      <c r="B1619" t="inlineStr">
        <is>
          <t>non-amyloid</t>
        </is>
      </c>
      <c r="C1619" t="inlineStr"/>
      <c r="D1619" t="inlineStr"/>
      <c r="E1619" t="inlineStr"/>
      <c r="F1619" t="inlineStr">
        <is>
          <t>C1</t>
        </is>
      </c>
      <c r="G1619" t="inlineStr">
        <is>
          <t>18.15</t>
        </is>
      </c>
      <c r="H1619" t="n">
        <v>144.41</v>
      </c>
      <c r="I1619" t="inlineStr">
        <is>
          <t>C1</t>
        </is>
      </c>
      <c r="J1619" t="inlineStr"/>
      <c r="K1619" t="inlineStr">
        <is>
          <t> </t>
        </is>
      </c>
      <c r="L1619" t="inlineStr"/>
      <c r="M1619" t="n">
        <v>0.848367444</v>
      </c>
      <c r="N1619" t="inlineStr">
        <is>
          <t>Yes</t>
        </is>
      </c>
      <c r="O1619" t="inlineStr">
        <is>
          <t>improve</t>
        </is>
      </c>
      <c r="P1619" t="inlineStr">
        <is>
          <t>no EMDB values</t>
        </is>
      </c>
      <c r="Q1619" t="inlineStr"/>
      <c r="R1619" t="inlineStr"/>
      <c r="S1619">
        <f>HYPERLINK("https://helical-indexing-hi3d.streamlit.app/?emd_id=emd-1026&amp;rise=18.15&amp;twist=144.41&amp;csym=1&amp;rise2=nan&amp;twist2=nan&amp;csym2=1", "Link")</f>
        <v/>
      </c>
    </row>
    <row r="1620">
      <c r="A1620" t="inlineStr">
        <is>
          <t>EMD-19548</t>
        </is>
      </c>
      <c r="B1620" t="inlineStr">
        <is>
          <t>non-amyloid</t>
        </is>
      </c>
      <c r="C1620" t="n">
        <v>3.5</v>
      </c>
      <c r="D1620" t="n">
        <v>53.61</v>
      </c>
      <c r="E1620" t="n">
        <v>13.03</v>
      </c>
      <c r="F1620" t="inlineStr">
        <is>
          <t>C3</t>
        </is>
      </c>
      <c r="G1620" t="inlineStr">
        <is>
          <t>52.48575549</t>
        </is>
      </c>
      <c r="H1620" t="n">
        <v>12.46981593</v>
      </c>
      <c r="I1620" t="inlineStr">
        <is>
          <t>C3</t>
        </is>
      </c>
      <c r="J1620" t="n">
        <v>1.145924146304732</v>
      </c>
      <c r="K1620" t="inlineStr"/>
      <c r="L1620" t="n">
        <v>0.60521</v>
      </c>
      <c r="M1620" t="n">
        <v>0.8552</v>
      </c>
      <c r="N1620" t="inlineStr">
        <is>
          <t>Yes</t>
        </is>
      </c>
      <c r="O1620" t="inlineStr">
        <is>
          <t>improve</t>
        </is>
      </c>
      <c r="P1620" t="inlineStr">
        <is>
          <t>different</t>
        </is>
      </c>
      <c r="Q1620" t="inlineStr">
        <is>
          <t>check</t>
        </is>
      </c>
      <c r="R1620" t="inlineStr"/>
      <c r="S1620">
        <f>HYPERLINK("https://helical-indexing-hi3d.streamlit.app/?emd_id=emd-19548&amp;rise=52.48575549&amp;twist=12.46981593&amp;csym=3&amp;rise2=53.61&amp;twist2=13.03&amp;csym2=3", "Link")</f>
        <v/>
      </c>
    </row>
    <row r="1621">
      <c r="A1621" t="inlineStr">
        <is>
          <t>EMD-42770</t>
        </is>
      </c>
      <c r="B1621" t="inlineStr">
        <is>
          <t>non-amyloid</t>
        </is>
      </c>
      <c r="C1621" t="n">
        <v>2.11</v>
      </c>
      <c r="D1621" t="n">
        <v>4.73</v>
      </c>
      <c r="E1621" t="n">
        <v>65.93000000000001</v>
      </c>
      <c r="F1621" t="inlineStr">
        <is>
          <t>C1</t>
        </is>
      </c>
      <c r="G1621" t="inlineStr">
        <is>
          <t>4.732260586</t>
        </is>
      </c>
      <c r="H1621" t="n">
        <v>65.92310454</v>
      </c>
      <c r="I1621" t="inlineStr">
        <is>
          <t>C1</t>
        </is>
      </c>
      <c r="J1621" t="n">
        <v>0.004774587</v>
      </c>
      <c r="K1621" t="inlineStr"/>
      <c r="L1621" t="n">
        <v>0.95775</v>
      </c>
      <c r="M1621" t="n">
        <v>0.96455</v>
      </c>
      <c r="N1621" t="inlineStr">
        <is>
          <t>Yes</t>
        </is>
      </c>
      <c r="O1621" t="inlineStr">
        <is>
          <t>improve</t>
        </is>
      </c>
      <c r="P1621" t="inlineStr">
        <is>
          <t>adjusted decimals</t>
        </is>
      </c>
      <c r="Q1621" t="inlineStr"/>
      <c r="R1621" t="inlineStr"/>
      <c r="S1621">
        <f>HYPERLINK("https://helical-indexing-hi3d.streamlit.app/?emd_id=emd-42770&amp;rise=4.732260586&amp;twist=65.92310454&amp;csym=1&amp;rise2=4.73&amp;twist2=65.93&amp;csym2=1", "Link")</f>
        <v/>
      </c>
    </row>
    <row r="1622">
      <c r="A1622" t="inlineStr">
        <is>
          <t>EMD-17579</t>
        </is>
      </c>
      <c r="B1622" t="inlineStr">
        <is>
          <t>non-amyloid</t>
        </is>
      </c>
      <c r="C1622" t="n">
        <v>5.77</v>
      </c>
      <c r="D1622" t="n">
        <v>43.82</v>
      </c>
      <c r="E1622" t="n">
        <v>17.041</v>
      </c>
      <c r="F1622" t="inlineStr">
        <is>
          <t>C7</t>
        </is>
      </c>
      <c r="G1622" t="inlineStr">
        <is>
          <t>43.94457416</t>
        </is>
      </c>
      <c r="H1622" t="n">
        <v>17.14286378</v>
      </c>
      <c r="I1622" t="inlineStr">
        <is>
          <t>C7</t>
        </is>
      </c>
      <c r="J1622" t="n">
        <v>0.1303566434814892</v>
      </c>
      <c r="K1622" t="inlineStr"/>
      <c r="L1622" t="n">
        <v>0.95621</v>
      </c>
      <c r="M1622" t="n">
        <v>0.95716</v>
      </c>
      <c r="N1622" t="inlineStr">
        <is>
          <t>Yes</t>
        </is>
      </c>
      <c r="O1622" t="inlineStr">
        <is>
          <t>improve</t>
        </is>
      </c>
      <c r="P1622" t="inlineStr">
        <is>
          <t>adjusted decimals</t>
        </is>
      </c>
      <c r="Q1622" t="inlineStr"/>
      <c r="R1622" t="inlineStr"/>
      <c r="S1622">
        <f>HYPERLINK("https://helical-indexing-hi3d.streamlit.app/?emd_id=emd-17579&amp;rise=43.94457416&amp;twist=17.14286378&amp;csym=7&amp;rise2=43.82&amp;twist2=17.041&amp;csym2=7", "Link")</f>
        <v/>
      </c>
    </row>
    <row r="1623">
      <c r="A1623" t="inlineStr">
        <is>
          <t>EMD-18416</t>
        </is>
      </c>
      <c r="B1623" t="inlineStr">
        <is>
          <t>non-amyloid</t>
        </is>
      </c>
      <c r="C1623" t="n">
        <v>2.3</v>
      </c>
      <c r="D1623" t="n">
        <v>39.297</v>
      </c>
      <c r="E1623" t="n">
        <v>25.078</v>
      </c>
      <c r="F1623" t="inlineStr">
        <is>
          <t>C6</t>
        </is>
      </c>
      <c r="G1623" t="inlineStr">
        <is>
          <t>39.27128796</t>
        </is>
      </c>
      <c r="H1623" t="n">
        <v>25.09431037</v>
      </c>
      <c r="I1623" t="inlineStr">
        <is>
          <t>C6</t>
        </is>
      </c>
      <c r="J1623" t="n">
        <v>0.0267473603601698</v>
      </c>
      <c r="K1623" t="inlineStr"/>
      <c r="L1623" t="n">
        <v>0.90276</v>
      </c>
      <c r="M1623" t="n">
        <v>0.90347</v>
      </c>
      <c r="N1623" t="inlineStr">
        <is>
          <t>Yes</t>
        </is>
      </c>
      <c r="O1623" t="inlineStr">
        <is>
          <t>improve</t>
        </is>
      </c>
      <c r="P1623" t="inlineStr">
        <is>
          <t>adjusted decimals</t>
        </is>
      </c>
      <c r="Q1623" t="inlineStr"/>
      <c r="R1623" t="inlineStr"/>
      <c r="S1623">
        <f>HYPERLINK("https://helical-indexing-hi3d.streamlit.app/?emd_id=emd-18416&amp;rise=39.27128796&amp;twist=25.09431037&amp;csym=6&amp;rise2=39.297&amp;twist2=25.078&amp;csym2=6", "Link")</f>
        <v/>
      </c>
    </row>
    <row r="1624">
      <c r="A1624" t="inlineStr">
        <is>
          <t>EMD-42552</t>
        </is>
      </c>
      <c r="B1624" t="inlineStr">
        <is>
          <t>microtubule</t>
        </is>
      </c>
      <c r="C1624" t="n">
        <v>3.4</v>
      </c>
      <c r="D1624" t="n">
        <v>5.62</v>
      </c>
      <c r="E1624" t="n">
        <v>168.09</v>
      </c>
      <c r="F1624" t="inlineStr">
        <is>
          <t>C1</t>
        </is>
      </c>
      <c r="G1624" t="inlineStr"/>
      <c r="H1624" t="inlineStr"/>
      <c r="I1624" t="inlineStr">
        <is>
          <t>Cnan</t>
        </is>
      </c>
      <c r="J1624" t="inlineStr"/>
      <c r="K1624" t="inlineStr"/>
      <c r="L1624" t="n">
        <v>0.19412</v>
      </c>
      <c r="M1624" t="n">
        <v>0.4661</v>
      </c>
      <c r="N1624" t="inlineStr">
        <is>
          <t>Excluded</t>
        </is>
      </c>
      <c r="O1624" t="inlineStr">
        <is>
          <t>improve</t>
        </is>
      </c>
      <c r="P1624" t="inlineStr">
        <is>
          <t>partial map</t>
        </is>
      </c>
      <c r="Q1624" t="inlineStr"/>
      <c r="R1624" t="inlineStr"/>
      <c r="S1624">
        <f>HYPERLINK("https://helical-indexing-hi3d.streamlit.app/?emd_id=emd-42552&amp;rise=nan&amp;twist=nan&amp;csym=nan&amp;rise2=5.62&amp;twist2=168.09&amp;csym2=1", "Link")</f>
        <v/>
      </c>
    </row>
    <row r="1625">
      <c r="A1625" t="inlineStr">
        <is>
          <t>EMD-42545</t>
        </is>
      </c>
      <c r="B1625" t="inlineStr">
        <is>
          <t>microtubule</t>
        </is>
      </c>
      <c r="C1625" t="n">
        <v>3.2</v>
      </c>
      <c r="D1625" t="n">
        <v>5.6</v>
      </c>
      <c r="E1625" t="n">
        <v>168.09</v>
      </c>
      <c r="F1625" t="inlineStr">
        <is>
          <t>C1</t>
        </is>
      </c>
      <c r="G1625" t="inlineStr"/>
      <c r="H1625" t="inlineStr"/>
      <c r="I1625" t="inlineStr">
        <is>
          <t>Cnan</t>
        </is>
      </c>
      <c r="J1625" t="inlineStr"/>
      <c r="K1625" t="inlineStr"/>
      <c r="L1625" t="n">
        <v>0.21006</v>
      </c>
      <c r="M1625" t="n">
        <v>0.5434</v>
      </c>
      <c r="N1625" t="inlineStr">
        <is>
          <t>Excluded</t>
        </is>
      </c>
      <c r="O1625" t="inlineStr">
        <is>
          <t>improve</t>
        </is>
      </c>
      <c r="P1625" t="inlineStr">
        <is>
          <t>partial map</t>
        </is>
      </c>
      <c r="Q1625" t="inlineStr"/>
      <c r="R1625" t="inlineStr"/>
      <c r="S1625">
        <f>HYPERLINK("https://helical-indexing-hi3d.streamlit.app/?emd_id=emd-42545&amp;rise=nan&amp;twist=nan&amp;csym=nan&amp;rise2=5.6&amp;twist2=168.09&amp;csym2=1", "Link")</f>
        <v/>
      </c>
    </row>
    <row r="1626">
      <c r="A1626" t="inlineStr">
        <is>
          <t>EMD-36435</t>
        </is>
      </c>
      <c r="B1626" t="inlineStr">
        <is>
          <t>non-amyloid</t>
        </is>
      </c>
      <c r="C1626" t="n">
        <v>11</v>
      </c>
      <c r="D1626" t="n">
        <v>10.7</v>
      </c>
      <c r="E1626" t="n">
        <v>128.09</v>
      </c>
      <c r="F1626" t="inlineStr">
        <is>
          <t>C1</t>
        </is>
      </c>
      <c r="G1626" t="inlineStr">
        <is>
          <t>10.7</t>
        </is>
      </c>
      <c r="H1626" t="n">
        <v>128.09</v>
      </c>
      <c r="I1626" t="inlineStr">
        <is>
          <t>C1</t>
        </is>
      </c>
      <c r="J1626" t="n">
        <v>0</v>
      </c>
      <c r="K1626" t="inlineStr"/>
      <c r="L1626" t="n">
        <v>0.93808</v>
      </c>
      <c r="M1626" t="n">
        <v>0.93808</v>
      </c>
      <c r="N1626" t="inlineStr">
        <is>
          <t>Yes</t>
        </is>
      </c>
      <c r="O1626" t="inlineStr">
        <is>
          <t>equal</t>
        </is>
      </c>
      <c r="P1626" t="inlineStr">
        <is>
          <t>deposited</t>
        </is>
      </c>
      <c r="Q1626" t="inlineStr"/>
      <c r="R1626" t="inlineStr"/>
      <c r="S1626">
        <f>HYPERLINK("https://helical-indexing-hi3d.streamlit.app/?emd_id=emd-36435&amp;rise=10.7&amp;twist=128.09&amp;csym=1&amp;rise2=10.7&amp;twist2=128.09&amp;csym2=1", "Link")</f>
        <v/>
      </c>
    </row>
    <row r="1627">
      <c r="A1627" t="inlineStr">
        <is>
          <t>EMD-42551</t>
        </is>
      </c>
      <c r="B1627" t="inlineStr">
        <is>
          <t>microtubule</t>
        </is>
      </c>
      <c r="C1627" t="n">
        <v>3</v>
      </c>
      <c r="D1627" t="n">
        <v>5.45</v>
      </c>
      <c r="E1627" t="n">
        <v>168.09</v>
      </c>
      <c r="F1627" t="inlineStr">
        <is>
          <t>C1</t>
        </is>
      </c>
      <c r="G1627" t="inlineStr"/>
      <c r="H1627" t="inlineStr"/>
      <c r="I1627" t="inlineStr">
        <is>
          <t>Cnan</t>
        </is>
      </c>
      <c r="J1627" t="inlineStr"/>
      <c r="K1627" t="inlineStr"/>
      <c r="L1627" t="n">
        <v>0.26285</v>
      </c>
      <c r="M1627" t="n">
        <v>0.59451</v>
      </c>
      <c r="N1627" t="inlineStr">
        <is>
          <t>Excluded</t>
        </is>
      </c>
      <c r="O1627" t="inlineStr">
        <is>
          <t>improve</t>
        </is>
      </c>
      <c r="P1627" t="inlineStr">
        <is>
          <t>partial map</t>
        </is>
      </c>
      <c r="Q1627" t="inlineStr"/>
      <c r="R1627" t="inlineStr"/>
      <c r="S1627">
        <f>HYPERLINK("https://helical-indexing-hi3d.streamlit.app/?emd_id=emd-42551&amp;rise=nan&amp;twist=nan&amp;csym=nan&amp;rise2=5.45&amp;twist2=168.09&amp;csym2=1", "Link")</f>
        <v/>
      </c>
    </row>
    <row r="1628">
      <c r="A1628" t="inlineStr">
        <is>
          <t>EMD-36434</t>
        </is>
      </c>
      <c r="B1628" t="inlineStr">
        <is>
          <t>non-amyloid</t>
        </is>
      </c>
      <c r="C1628" t="n">
        <v>9.800000000000001</v>
      </c>
      <c r="D1628" t="n">
        <v>18.29</v>
      </c>
      <c r="E1628" t="n">
        <v>102.22</v>
      </c>
      <c r="F1628" t="inlineStr">
        <is>
          <t>C1</t>
        </is>
      </c>
      <c r="G1628" t="inlineStr">
        <is>
          <t>18.29</t>
        </is>
      </c>
      <c r="H1628" t="n">
        <v>102.22</v>
      </c>
      <c r="I1628" t="inlineStr">
        <is>
          <t>C1</t>
        </is>
      </c>
      <c r="J1628" t="n">
        <v>0</v>
      </c>
      <c r="K1628" t="inlineStr"/>
      <c r="L1628" t="n">
        <v>0.91903</v>
      </c>
      <c r="M1628" t="n">
        <v>0.91903</v>
      </c>
      <c r="N1628" t="inlineStr">
        <is>
          <t>Yes</t>
        </is>
      </c>
      <c r="O1628" t="inlineStr">
        <is>
          <t>equal</t>
        </is>
      </c>
      <c r="P1628" t="inlineStr">
        <is>
          <t>deposited</t>
        </is>
      </c>
      <c r="Q1628" t="inlineStr"/>
      <c r="R1628" t="inlineStr"/>
      <c r="S1628">
        <f>HYPERLINK("https://helical-indexing-hi3d.streamlit.app/?emd_id=emd-36434&amp;rise=18.29&amp;twist=102.22&amp;csym=1&amp;rise2=18.29&amp;twist2=102.22&amp;csym2=1", "Link")</f>
        <v/>
      </c>
    </row>
    <row r="1629">
      <c r="A1629" t="inlineStr">
        <is>
          <t>EMD-42544</t>
        </is>
      </c>
      <c r="B1629" t="inlineStr">
        <is>
          <t>microtubule</t>
        </is>
      </c>
      <c r="C1629" t="n">
        <v>3.2</v>
      </c>
      <c r="D1629" t="n">
        <v>5.6</v>
      </c>
      <c r="E1629" t="n">
        <v>168.09</v>
      </c>
      <c r="F1629" t="inlineStr">
        <is>
          <t>C1</t>
        </is>
      </c>
      <c r="G1629" t="inlineStr"/>
      <c r="H1629" t="inlineStr"/>
      <c r="I1629" t="inlineStr">
        <is>
          <t>Cnan</t>
        </is>
      </c>
      <c r="J1629" t="inlineStr"/>
      <c r="K1629" t="inlineStr"/>
      <c r="L1629" t="n">
        <v>0.20907</v>
      </c>
      <c r="M1629" t="n">
        <v>0.54349</v>
      </c>
      <c r="N1629" t="inlineStr">
        <is>
          <t>Excluded</t>
        </is>
      </c>
      <c r="O1629" t="inlineStr">
        <is>
          <t>improve</t>
        </is>
      </c>
      <c r="P1629" t="inlineStr">
        <is>
          <t>partial map</t>
        </is>
      </c>
      <c r="Q1629" t="inlineStr"/>
      <c r="R1629" t="inlineStr"/>
      <c r="S1629">
        <f>HYPERLINK("https://helical-indexing-hi3d.streamlit.app/?emd_id=emd-42544&amp;rise=nan&amp;twist=nan&amp;csym=nan&amp;rise2=5.6&amp;twist2=168.09&amp;csym2=1", "Link")</f>
        <v/>
      </c>
    </row>
    <row r="1630">
      <c r="A1630" t="inlineStr">
        <is>
          <t>EMD-42548</t>
        </is>
      </c>
      <c r="B1630" t="inlineStr">
        <is>
          <t>microtubule</t>
        </is>
      </c>
      <c r="C1630" t="n">
        <v>2.7</v>
      </c>
      <c r="D1630" t="n">
        <v>5.61</v>
      </c>
      <c r="E1630" t="n">
        <v>168.09</v>
      </c>
      <c r="F1630" t="inlineStr">
        <is>
          <t>C1</t>
        </is>
      </c>
      <c r="G1630" t="inlineStr"/>
      <c r="H1630" t="inlineStr"/>
      <c r="I1630" t="inlineStr">
        <is>
          <t>Cnan</t>
        </is>
      </c>
      <c r="J1630" t="inlineStr"/>
      <c r="K1630" t="inlineStr"/>
      <c r="L1630" t="n">
        <v>0.21437</v>
      </c>
      <c r="M1630" t="n">
        <v>0.74064</v>
      </c>
      <c r="N1630" t="inlineStr">
        <is>
          <t>Excluded</t>
        </is>
      </c>
      <c r="O1630" t="inlineStr">
        <is>
          <t>improve</t>
        </is>
      </c>
      <c r="P1630" t="inlineStr">
        <is>
          <t>partial map</t>
        </is>
      </c>
      <c r="Q1630" t="inlineStr"/>
      <c r="R1630" t="inlineStr"/>
      <c r="S1630">
        <f>HYPERLINK("https://helical-indexing-hi3d.streamlit.app/?emd_id=emd-42548&amp;rise=nan&amp;twist=nan&amp;csym=nan&amp;rise2=5.61&amp;twist2=168.09&amp;csym2=1", "Link")</f>
        <v/>
      </c>
    </row>
    <row r="1631">
      <c r="A1631" t="inlineStr">
        <is>
          <t>EMD-42550</t>
        </is>
      </c>
      <c r="B1631" t="inlineStr">
        <is>
          <t>microtubule</t>
        </is>
      </c>
      <c r="C1631" t="n">
        <v>3</v>
      </c>
      <c r="D1631" t="n">
        <v>5.64</v>
      </c>
      <c r="E1631" t="n">
        <v>168.09</v>
      </c>
      <c r="F1631" t="inlineStr">
        <is>
          <t>C1</t>
        </is>
      </c>
      <c r="G1631" t="inlineStr"/>
      <c r="H1631" t="inlineStr"/>
      <c r="I1631" t="inlineStr">
        <is>
          <t>Cnan</t>
        </is>
      </c>
      <c r="J1631" t="inlineStr"/>
      <c r="K1631" t="inlineStr"/>
      <c r="L1631" t="n">
        <v>0.17674</v>
      </c>
      <c r="M1631" t="n">
        <v>0.50983</v>
      </c>
      <c r="N1631" t="inlineStr">
        <is>
          <t>Excluded</t>
        </is>
      </c>
      <c r="O1631" t="inlineStr">
        <is>
          <t>improve</t>
        </is>
      </c>
      <c r="P1631" t="inlineStr">
        <is>
          <t>partial map</t>
        </is>
      </c>
      <c r="Q1631" t="inlineStr"/>
      <c r="R1631" t="inlineStr"/>
      <c r="S1631">
        <f>HYPERLINK("https://helical-indexing-hi3d.streamlit.app/?emd_id=emd-42550&amp;rise=nan&amp;twist=nan&amp;csym=nan&amp;rise2=5.64&amp;twist2=168.09&amp;csym2=1", "Link")</f>
        <v/>
      </c>
    </row>
    <row r="1632">
      <c r="A1632" t="inlineStr">
        <is>
          <t>EMD-42546</t>
        </is>
      </c>
      <c r="B1632" t="inlineStr">
        <is>
          <t>microtubule</t>
        </is>
      </c>
      <c r="C1632" t="n">
        <v>3.1</v>
      </c>
      <c r="D1632" t="n">
        <v>5.6</v>
      </c>
      <c r="E1632" t="n">
        <v>168.09</v>
      </c>
      <c r="F1632" t="inlineStr">
        <is>
          <t>C1</t>
        </is>
      </c>
      <c r="G1632" t="inlineStr"/>
      <c r="H1632" t="inlineStr"/>
      <c r="I1632" t="inlineStr">
        <is>
          <t>Cnan</t>
        </is>
      </c>
      <c r="J1632" t="inlineStr"/>
      <c r="K1632" t="inlineStr"/>
      <c r="L1632" t="n">
        <v>0.25479</v>
      </c>
      <c r="M1632" t="n">
        <v>0.63334</v>
      </c>
      <c r="N1632" t="inlineStr">
        <is>
          <t>Excluded</t>
        </is>
      </c>
      <c r="O1632" t="inlineStr">
        <is>
          <t>improve</t>
        </is>
      </c>
      <c r="P1632" t="inlineStr">
        <is>
          <t>partial map</t>
        </is>
      </c>
      <c r="Q1632" t="inlineStr"/>
      <c r="R1632" t="inlineStr"/>
      <c r="S1632">
        <f>HYPERLINK("https://helical-indexing-hi3d.streamlit.app/?emd_id=emd-42546&amp;rise=nan&amp;twist=nan&amp;csym=nan&amp;rise2=5.6&amp;twist2=168.09&amp;csym2=1", "Link")</f>
        <v/>
      </c>
    </row>
    <row r="1633">
      <c r="A1633" t="inlineStr">
        <is>
          <t>EMD-42543</t>
        </is>
      </c>
      <c r="B1633" t="inlineStr">
        <is>
          <t>microtubule</t>
        </is>
      </c>
      <c r="C1633" t="n">
        <v>3.1</v>
      </c>
      <c r="D1633" t="n">
        <v>5.6</v>
      </c>
      <c r="E1633" t="n">
        <v>168.09</v>
      </c>
      <c r="F1633" t="inlineStr">
        <is>
          <t>C1</t>
        </is>
      </c>
      <c r="G1633" t="inlineStr"/>
      <c r="H1633" t="inlineStr"/>
      <c r="I1633" t="inlineStr">
        <is>
          <t>Cnan</t>
        </is>
      </c>
      <c r="J1633" t="inlineStr"/>
      <c r="K1633" t="inlineStr"/>
      <c r="L1633" t="n">
        <v>0.17667</v>
      </c>
      <c r="M1633" t="n">
        <v>0.49381</v>
      </c>
      <c r="N1633" t="inlineStr">
        <is>
          <t>Excluded</t>
        </is>
      </c>
      <c r="O1633" t="inlineStr">
        <is>
          <t>improve</t>
        </is>
      </c>
      <c r="P1633" t="inlineStr">
        <is>
          <t>partial map</t>
        </is>
      </c>
      <c r="Q1633" t="inlineStr"/>
      <c r="R1633" t="inlineStr"/>
      <c r="S1633">
        <f>HYPERLINK("https://helical-indexing-hi3d.streamlit.app/?emd_id=emd-42543&amp;rise=nan&amp;twist=nan&amp;csym=nan&amp;rise2=5.6&amp;twist2=168.09&amp;csym2=1", "Link")</f>
        <v/>
      </c>
    </row>
    <row r="1634">
      <c r="A1634" t="inlineStr">
        <is>
          <t>EMD-42549</t>
        </is>
      </c>
      <c r="B1634" t="inlineStr">
        <is>
          <t>microtubule</t>
        </is>
      </c>
      <c r="C1634" t="n">
        <v>3.1</v>
      </c>
      <c r="D1634" t="n">
        <v>5.64</v>
      </c>
      <c r="E1634" t="n">
        <v>168.09</v>
      </c>
      <c r="F1634" t="inlineStr">
        <is>
          <t>C1</t>
        </is>
      </c>
      <c r="G1634" t="inlineStr"/>
      <c r="H1634" t="inlineStr"/>
      <c r="I1634" t="inlineStr">
        <is>
          <t>Cnan</t>
        </is>
      </c>
      <c r="J1634" t="inlineStr"/>
      <c r="K1634" t="inlineStr"/>
      <c r="L1634" t="n">
        <v>0.20975</v>
      </c>
      <c r="M1634" t="n">
        <v>0.55387</v>
      </c>
      <c r="N1634" t="inlineStr">
        <is>
          <t>Excluded</t>
        </is>
      </c>
      <c r="O1634" t="inlineStr">
        <is>
          <t>improve</t>
        </is>
      </c>
      <c r="P1634" t="inlineStr">
        <is>
          <t>partial map</t>
        </is>
      </c>
      <c r="Q1634" t="inlineStr"/>
      <c r="R1634" t="inlineStr"/>
      <c r="S1634">
        <f>HYPERLINK("https://helical-indexing-hi3d.streamlit.app/?emd_id=emd-42549&amp;rise=nan&amp;twist=nan&amp;csym=nan&amp;rise2=5.64&amp;twist2=168.09&amp;csym2=1", "Link")</f>
        <v/>
      </c>
    </row>
    <row r="1635">
      <c r="A1635" t="inlineStr">
        <is>
          <t>EMD-42547</t>
        </is>
      </c>
      <c r="B1635" t="inlineStr">
        <is>
          <t>microtubule</t>
        </is>
      </c>
      <c r="C1635" t="n">
        <v>3.3</v>
      </c>
      <c r="D1635" t="n">
        <v>5.61</v>
      </c>
      <c r="E1635" t="n">
        <v>168.09</v>
      </c>
      <c r="F1635" t="inlineStr">
        <is>
          <t>C1</t>
        </is>
      </c>
      <c r="G1635" t="inlineStr"/>
      <c r="H1635" t="inlineStr"/>
      <c r="I1635" t="inlineStr">
        <is>
          <t>Cnan</t>
        </is>
      </c>
      <c r="J1635" t="inlineStr"/>
      <c r="K1635" t="inlineStr"/>
      <c r="L1635" t="n">
        <v>0.22975</v>
      </c>
      <c r="M1635" t="n">
        <v>0.53467</v>
      </c>
      <c r="N1635" t="inlineStr">
        <is>
          <t>Excluded</t>
        </is>
      </c>
      <c r="O1635" t="inlineStr">
        <is>
          <t>improve</t>
        </is>
      </c>
      <c r="P1635" t="inlineStr">
        <is>
          <t>partial map</t>
        </is>
      </c>
      <c r="Q1635" t="inlineStr"/>
      <c r="R1635" t="inlineStr"/>
      <c r="S1635">
        <f>HYPERLINK("https://helical-indexing-hi3d.streamlit.app/?emd_id=emd-42547&amp;rise=nan&amp;twist=nan&amp;csym=nan&amp;rise2=5.61&amp;twist2=168.09&amp;csym2=1", "Link")</f>
        <v/>
      </c>
    </row>
    <row r="1636">
      <c r="A1636" t="inlineStr">
        <is>
          <t>EMD-42553</t>
        </is>
      </c>
      <c r="B1636" t="inlineStr">
        <is>
          <t>microtubule</t>
        </is>
      </c>
      <c r="C1636" t="n">
        <v>3.3</v>
      </c>
      <c r="D1636" t="n">
        <v>5.58</v>
      </c>
      <c r="E1636" t="n">
        <v>168.09</v>
      </c>
      <c r="F1636" t="inlineStr">
        <is>
          <t>C1</t>
        </is>
      </c>
      <c r="G1636" t="inlineStr"/>
      <c r="H1636" t="inlineStr"/>
      <c r="I1636" t="inlineStr">
        <is>
          <t>Cnan</t>
        </is>
      </c>
      <c r="J1636" t="inlineStr"/>
      <c r="K1636" t="inlineStr"/>
      <c r="L1636" t="n">
        <v>0.20852</v>
      </c>
      <c r="M1636" t="n">
        <v>0.55088</v>
      </c>
      <c r="N1636" t="inlineStr">
        <is>
          <t>Excluded</t>
        </is>
      </c>
      <c r="O1636" t="inlineStr">
        <is>
          <t>improve</t>
        </is>
      </c>
      <c r="P1636" t="inlineStr">
        <is>
          <t>partial map</t>
        </is>
      </c>
      <c r="Q1636" t="inlineStr"/>
      <c r="R1636" t="inlineStr"/>
      <c r="S1636">
        <f>HYPERLINK("https://helical-indexing-hi3d.streamlit.app/?emd_id=emd-42553&amp;rise=nan&amp;twist=nan&amp;csym=nan&amp;rise2=5.58&amp;twist2=168.09&amp;csym2=1", "Link")</f>
        <v/>
      </c>
    </row>
    <row r="1637">
      <c r="A1637" t="inlineStr">
        <is>
          <t>EMD-42436</t>
        </is>
      </c>
      <c r="B1637" t="inlineStr">
        <is>
          <t>non-amyloid</t>
        </is>
      </c>
      <c r="C1637" t="n">
        <v>3.3</v>
      </c>
      <c r="D1637" t="n">
        <v>0.09891999999999999</v>
      </c>
      <c r="E1637" t="n">
        <v>-78.6977</v>
      </c>
      <c r="F1637" t="inlineStr">
        <is>
          <t>C1</t>
        </is>
      </c>
      <c r="G1637" t="inlineStr">
        <is>
          <t>0.09892</t>
        </is>
      </c>
      <c r="H1637" t="n">
        <v>-78.6977</v>
      </c>
      <c r="I1637" t="inlineStr">
        <is>
          <t>C1</t>
        </is>
      </c>
      <c r="J1637" t="n">
        <v>0</v>
      </c>
      <c r="K1637" t="inlineStr"/>
      <c r="L1637" t="n">
        <v>0.99397</v>
      </c>
      <c r="M1637" t="n">
        <v>0.99397</v>
      </c>
      <c r="N1637" t="inlineStr">
        <is>
          <t>Yes</t>
        </is>
      </c>
      <c r="O1637" t="inlineStr">
        <is>
          <t>equal</t>
        </is>
      </c>
      <c r="P1637" t="inlineStr">
        <is>
          <t>deposited</t>
        </is>
      </c>
      <c r="Q1637" t="inlineStr">
        <is>
          <t>check</t>
        </is>
      </c>
      <c r="R1637" t="inlineStr"/>
      <c r="S1637">
        <f>HYPERLINK("https://helical-indexing-hi3d.streamlit.app/?emd_id=emd-42436&amp;rise=0.09892&amp;twist=-78.6977&amp;csym=1&amp;rise2=0.09892&amp;twist2=-78.6977&amp;csym2=1", "Link")</f>
        <v/>
      </c>
    </row>
    <row r="1638">
      <c r="A1638" t="inlineStr">
        <is>
          <t>EMD-42434</t>
        </is>
      </c>
      <c r="B1638" t="inlineStr">
        <is>
          <t>non-amyloid</t>
        </is>
      </c>
      <c r="C1638" t="n">
        <v>3.3</v>
      </c>
      <c r="D1638" t="n">
        <v>0.59</v>
      </c>
      <c r="E1638" t="n">
        <v>-134.574</v>
      </c>
      <c r="F1638" t="inlineStr">
        <is>
          <t>C1</t>
        </is>
      </c>
      <c r="G1638" t="inlineStr">
        <is>
          <t>0.59</t>
        </is>
      </c>
      <c r="H1638" t="n">
        <v>-134.574</v>
      </c>
      <c r="I1638" t="inlineStr">
        <is>
          <t>C1</t>
        </is>
      </c>
      <c r="J1638" t="n">
        <v>0</v>
      </c>
      <c r="K1638" t="inlineStr"/>
      <c r="L1638" t="n">
        <v>0.88712</v>
      </c>
      <c r="M1638" t="n">
        <v>0.88712</v>
      </c>
      <c r="N1638" t="inlineStr">
        <is>
          <t>Yes</t>
        </is>
      </c>
      <c r="O1638" t="inlineStr">
        <is>
          <t>equal</t>
        </is>
      </c>
      <c r="P1638" t="inlineStr">
        <is>
          <t>deposited</t>
        </is>
      </c>
      <c r="Q1638" t="inlineStr"/>
      <c r="R1638" t="inlineStr"/>
      <c r="S1638">
        <f>HYPERLINK("https://helical-indexing-hi3d.streamlit.app/?emd_id=emd-42434&amp;rise=0.59&amp;twist=-134.574&amp;csym=1&amp;rise2=0.59&amp;twist2=-134.574&amp;csym2=1", "Link")</f>
        <v/>
      </c>
    </row>
    <row r="1639">
      <c r="A1639" t="inlineStr">
        <is>
          <t>EMD-44153</t>
        </is>
      </c>
      <c r="B1639" t="inlineStr">
        <is>
          <t>non-amyloid</t>
        </is>
      </c>
      <c r="C1639" t="n">
        <v>3.6</v>
      </c>
      <c r="D1639" t="n">
        <v>27.93</v>
      </c>
      <c r="E1639" t="n">
        <v>-166.45</v>
      </c>
      <c r="F1639" t="inlineStr">
        <is>
          <t>C1</t>
        </is>
      </c>
      <c r="G1639" t="inlineStr"/>
      <c r="H1639" t="inlineStr"/>
      <c r="I1639" t="inlineStr">
        <is>
          <t>Cnan</t>
        </is>
      </c>
      <c r="J1639" t="inlineStr"/>
      <c r="K1639" t="inlineStr"/>
      <c r="L1639" t="n">
        <v>0.6918299999999999</v>
      </c>
      <c r="M1639" t="n">
        <v>0.6918299999999999</v>
      </c>
      <c r="N1639" t="inlineStr">
        <is>
          <t>Excluded</t>
        </is>
      </c>
      <c r="O1639" t="inlineStr">
        <is>
          <t>equal</t>
        </is>
      </c>
      <c r="P1639" t="inlineStr">
        <is>
          <t>focus reconstruction</t>
        </is>
      </c>
      <c r="Q1639" t="inlineStr"/>
      <c r="R1639" t="inlineStr"/>
      <c r="S1639">
        <f>HYPERLINK("https://helical-indexing-hi3d.streamlit.app/?emd_id=emd-44153&amp;rise=nan&amp;twist=nan&amp;csym=nan&amp;rise2=27.93&amp;twist2=-166.45&amp;csym2=1", "Link")</f>
        <v/>
      </c>
    </row>
    <row r="1640">
      <c r="A1640" t="inlineStr">
        <is>
          <t>EMD-44154</t>
        </is>
      </c>
      <c r="B1640" t="inlineStr">
        <is>
          <t>non-amyloid</t>
        </is>
      </c>
      <c r="C1640" t="n">
        <v>3.5</v>
      </c>
      <c r="D1640" t="n">
        <v>27.93</v>
      </c>
      <c r="E1640" t="n">
        <v>-166.48</v>
      </c>
      <c r="F1640" t="inlineStr">
        <is>
          <t>C1</t>
        </is>
      </c>
      <c r="G1640" t="inlineStr"/>
      <c r="H1640" t="inlineStr"/>
      <c r="I1640" t="inlineStr">
        <is>
          <t>Cnan</t>
        </is>
      </c>
      <c r="J1640" t="inlineStr"/>
      <c r="K1640" t="inlineStr"/>
      <c r="L1640" t="n">
        <v>0.6931</v>
      </c>
      <c r="M1640" t="n">
        <v>0.6931</v>
      </c>
      <c r="N1640" t="inlineStr">
        <is>
          <t>Excluded</t>
        </is>
      </c>
      <c r="O1640" t="inlineStr">
        <is>
          <t>equal</t>
        </is>
      </c>
      <c r="P1640" t="inlineStr">
        <is>
          <t>focus reconstruction</t>
        </is>
      </c>
      <c r="Q1640" t="inlineStr"/>
      <c r="R1640" t="inlineStr"/>
      <c r="S1640">
        <f>HYPERLINK("https://helical-indexing-hi3d.streamlit.app/?emd_id=emd-44154&amp;rise=nan&amp;twist=nan&amp;csym=nan&amp;rise2=27.93&amp;twist2=-166.48&amp;csym2=1", "Link")</f>
        <v/>
      </c>
    </row>
    <row r="1641">
      <c r="A1641" t="inlineStr">
        <is>
          <t>EMD-38685</t>
        </is>
      </c>
      <c r="B1641" t="inlineStr">
        <is>
          <t>non-amyloid</t>
        </is>
      </c>
      <c r="C1641" t="n">
        <v>3.6</v>
      </c>
      <c r="D1641" t="n">
        <v>64.04000000000001</v>
      </c>
      <c r="E1641" t="n">
        <v>-55.85</v>
      </c>
      <c r="F1641" t="inlineStr">
        <is>
          <t>C3</t>
        </is>
      </c>
      <c r="G1641" t="inlineStr"/>
      <c r="H1641" t="inlineStr"/>
      <c r="I1641" t="inlineStr">
        <is>
          <t>Cnan</t>
        </is>
      </c>
      <c r="J1641" t="inlineStr"/>
      <c r="K1641" t="inlineStr"/>
      <c r="L1641" t="n">
        <v>0.48592</v>
      </c>
      <c r="M1641" t="n">
        <v>0.48592</v>
      </c>
      <c r="N1641" t="inlineStr">
        <is>
          <t>Excluded</t>
        </is>
      </c>
      <c r="O1641" t="inlineStr">
        <is>
          <t>equal</t>
        </is>
      </c>
      <c r="P1641" t="inlineStr">
        <is>
          <t>focus reconstruction</t>
        </is>
      </c>
      <c r="Q1641" t="inlineStr"/>
      <c r="R1641" t="inlineStr"/>
      <c r="S1641">
        <f>HYPERLINK("https://helical-indexing-hi3d.streamlit.app/?emd_id=emd-38685&amp;rise=nan&amp;twist=nan&amp;csym=nan&amp;rise2=64.04&amp;twist2=-55.85&amp;csym2=3", "Link")</f>
        <v/>
      </c>
    </row>
    <row r="1642">
      <c r="A1642" t="inlineStr">
        <is>
          <t>EMD-41844</t>
        </is>
      </c>
      <c r="B1642" t="inlineStr">
        <is>
          <t>non-amyloid</t>
        </is>
      </c>
      <c r="C1642" t="n">
        <v>0.86</v>
      </c>
      <c r="D1642" t="n">
        <v>14.69</v>
      </c>
      <c r="E1642" t="n">
        <v>51.96</v>
      </c>
      <c r="F1642" t="inlineStr">
        <is>
          <t>C1</t>
        </is>
      </c>
      <c r="G1642" t="inlineStr">
        <is>
          <t>4.909161868</t>
        </is>
      </c>
      <c r="H1642" t="n">
        <v>102.6785725</v>
      </c>
      <c r="I1642" t="inlineStr">
        <is>
          <t>C1</t>
        </is>
      </c>
      <c r="J1642" t="n">
        <v>14.90209059091674</v>
      </c>
      <c r="K1642" t="inlineStr"/>
      <c r="L1642" t="n">
        <v>0.59368</v>
      </c>
      <c r="M1642" t="n">
        <v>0.9332</v>
      </c>
      <c r="N1642" t="inlineStr">
        <is>
          <t>Yes</t>
        </is>
      </c>
      <c r="O1642" t="inlineStr">
        <is>
          <t>improve</t>
        </is>
      </c>
      <c r="P1642" t="inlineStr">
        <is>
          <t>different</t>
        </is>
      </c>
      <c r="Q1642" t="inlineStr">
        <is>
          <t>partial symmetry</t>
        </is>
      </c>
      <c r="R1642" t="inlineStr">
        <is>
          <t>twist sign</t>
        </is>
      </c>
      <c r="S1642">
        <f>HYPERLINK("https://helical-indexing-hi3d.streamlit.app/?emd_id=emd-41844&amp;rise=4.909161868&amp;twist=102.6785725&amp;csym=1&amp;rise2=14.69&amp;twist2=51.96&amp;csym2=1", "Link")</f>
        <v/>
      </c>
    </row>
    <row r="1643">
      <c r="A1643" t="inlineStr">
        <is>
          <t>EMD-42114</t>
        </is>
      </c>
      <c r="B1643" t="inlineStr">
        <is>
          <t>non-amyloid</t>
        </is>
      </c>
      <c r="C1643" t="n">
        <v>2.78</v>
      </c>
      <c r="D1643" t="n">
        <v>46.063</v>
      </c>
      <c r="E1643" t="n">
        <v>119.969</v>
      </c>
      <c r="F1643" t="inlineStr">
        <is>
          <t>C1</t>
        </is>
      </c>
      <c r="G1643" t="inlineStr"/>
      <c r="H1643" t="inlineStr"/>
      <c r="I1643" t="inlineStr">
        <is>
          <t>Cnan</t>
        </is>
      </c>
      <c r="J1643" t="inlineStr"/>
      <c r="K1643" t="inlineStr"/>
      <c r="L1643" t="n">
        <v>0.52702</v>
      </c>
      <c r="M1643" t="n">
        <v>0.52702</v>
      </c>
      <c r="N1643" t="inlineStr">
        <is>
          <t>Excluded</t>
        </is>
      </c>
      <c r="O1643" t="inlineStr">
        <is>
          <t>equal</t>
        </is>
      </c>
      <c r="P1643" t="inlineStr">
        <is>
          <t>focus reconstruction</t>
        </is>
      </c>
      <c r="Q1643" t="inlineStr"/>
      <c r="R1643" t="inlineStr"/>
      <c r="S1643">
        <f>HYPERLINK("https://helical-indexing-hi3d.streamlit.app/?emd_id=emd-42114&amp;rise=nan&amp;twist=nan&amp;csym=nan&amp;rise2=46.063&amp;twist2=119.969&amp;csym2=1", "Link")</f>
        <v/>
      </c>
    </row>
    <row r="1644">
      <c r="A1644" t="inlineStr">
        <is>
          <t>EMD-39712</t>
        </is>
      </c>
      <c r="B1644" t="inlineStr">
        <is>
          <t>non-amyloid</t>
        </is>
      </c>
      <c r="C1644" t="n">
        <v>1.43</v>
      </c>
      <c r="D1644" t="n">
        <v>1.382</v>
      </c>
      <c r="E1644" t="n">
        <v>22.035</v>
      </c>
      <c r="F1644" t="inlineStr">
        <is>
          <t>C1</t>
        </is>
      </c>
      <c r="G1644" t="inlineStr">
        <is>
          <t>1.382</t>
        </is>
      </c>
      <c r="H1644" t="n">
        <v>22.035</v>
      </c>
      <c r="I1644" t="inlineStr">
        <is>
          <t xml:space="preserve">C1 </t>
        </is>
      </c>
      <c r="J1644" t="n">
        <v>0</v>
      </c>
      <c r="K1644" t="inlineStr"/>
      <c r="L1644" t="n">
        <v>0.97988</v>
      </c>
      <c r="M1644" t="n">
        <v>0.97988</v>
      </c>
      <c r="N1644" t="inlineStr">
        <is>
          <t>Yes</t>
        </is>
      </c>
      <c r="O1644" t="inlineStr">
        <is>
          <t>equal</t>
        </is>
      </c>
      <c r="P1644" t="inlineStr">
        <is>
          <t>deposited</t>
        </is>
      </c>
      <c r="Q1644" t="inlineStr"/>
      <c r="R1644" t="inlineStr"/>
      <c r="S1644">
        <f>HYPERLINK("https://helical-indexing-hi3d.streamlit.app/?emd_id=emd-39712&amp;rise=1.382&amp;twist=22.035&amp;csym=1 &amp;rise2=1.382&amp;twist2=22.035&amp;csym2=1", "Link")</f>
        <v/>
      </c>
    </row>
    <row r="1645">
      <c r="A1645" t="inlineStr">
        <is>
          <t>EMD-37676</t>
        </is>
      </c>
      <c r="B1645" t="inlineStr">
        <is>
          <t>non-amyloid</t>
        </is>
      </c>
      <c r="C1645" t="n">
        <v>8</v>
      </c>
      <c r="D1645" t="n">
        <v>91</v>
      </c>
      <c r="E1645" t="n">
        <v>6</v>
      </c>
      <c r="F1645" t="inlineStr">
        <is>
          <t>C1</t>
        </is>
      </c>
      <c r="G1645" t="inlineStr">
        <is>
          <t>91</t>
        </is>
      </c>
      <c r="H1645" t="n">
        <v>6</v>
      </c>
      <c r="I1645" t="inlineStr">
        <is>
          <t xml:space="preserve">C1 </t>
        </is>
      </c>
      <c r="J1645" t="n">
        <v>0</v>
      </c>
      <c r="K1645" t="inlineStr"/>
      <c r="L1645" t="n">
        <v>0.8675</v>
      </c>
      <c r="M1645" t="n">
        <v>0.8675</v>
      </c>
      <c r="N1645" t="inlineStr">
        <is>
          <t>Yes</t>
        </is>
      </c>
      <c r="O1645" t="inlineStr">
        <is>
          <t>equal</t>
        </is>
      </c>
      <c r="P1645" t="inlineStr">
        <is>
          <t>deposited</t>
        </is>
      </c>
      <c r="Q1645" t="inlineStr"/>
      <c r="R1645" t="inlineStr"/>
      <c r="S1645">
        <f>HYPERLINK("https://helical-indexing-hi3d.streamlit.app/?emd_id=emd-37676&amp;rise=91&amp;twist=6.0&amp;csym=1 &amp;rise2=91.0&amp;twist2=6.0&amp;csym2=1", "Link")</f>
        <v/>
      </c>
    </row>
    <row r="1646">
      <c r="A1646" t="inlineStr">
        <is>
          <t>EMD-18832</t>
        </is>
      </c>
      <c r="B1646" t="inlineStr">
        <is>
          <t>non-amyloid</t>
        </is>
      </c>
      <c r="C1646" t="n">
        <v>8.6</v>
      </c>
      <c r="D1646" t="n">
        <v>11.46</v>
      </c>
      <c r="E1646" t="n">
        <v>64.753</v>
      </c>
      <c r="F1646" t="inlineStr">
        <is>
          <t>D2</t>
        </is>
      </c>
      <c r="G1646" t="inlineStr">
        <is>
          <t>11.46</t>
        </is>
      </c>
      <c r="H1646" t="n">
        <v>64.753</v>
      </c>
      <c r="I1646" t="inlineStr">
        <is>
          <t>C2</t>
        </is>
      </c>
      <c r="J1646" t="n">
        <v>0</v>
      </c>
      <c r="K1646" t="inlineStr"/>
      <c r="L1646" t="n">
        <v>0.98295</v>
      </c>
      <c r="M1646" t="n">
        <v>0.98295</v>
      </c>
      <c r="N1646" t="inlineStr">
        <is>
          <t>Yes</t>
        </is>
      </c>
      <c r="O1646" t="inlineStr">
        <is>
          <t>equal</t>
        </is>
      </c>
      <c r="P1646" t="inlineStr">
        <is>
          <t>deposited</t>
        </is>
      </c>
      <c r="Q1646" t="inlineStr"/>
      <c r="R1646" t="inlineStr"/>
      <c r="S1646">
        <f>HYPERLINK("https://helical-indexing-hi3d.streamlit.app/?emd_id=emd-18832&amp;rise=11.46&amp;twist=64.753&amp;csym=2&amp;rise2=11.46&amp;twist2=64.753&amp;csym2=2", "Link")</f>
        <v/>
      </c>
    </row>
    <row r="1647">
      <c r="A1647" t="inlineStr">
        <is>
          <t>EMD-18835</t>
        </is>
      </c>
      <c r="B1647" t="inlineStr">
        <is>
          <t>non-amyloid</t>
        </is>
      </c>
      <c r="C1647" t="n">
        <v>9</v>
      </c>
      <c r="D1647" t="n">
        <v>11.46</v>
      </c>
      <c r="E1647" t="n">
        <v>64.753</v>
      </c>
      <c r="F1647" t="inlineStr">
        <is>
          <t>D2</t>
        </is>
      </c>
      <c r="G1647" t="inlineStr">
        <is>
          <t>11.46</t>
        </is>
      </c>
      <c r="H1647" t="n">
        <v>64.753</v>
      </c>
      <c r="I1647" t="inlineStr">
        <is>
          <t>C2</t>
        </is>
      </c>
      <c r="J1647" t="n">
        <v>0</v>
      </c>
      <c r="K1647" t="inlineStr"/>
      <c r="L1647" t="n">
        <v>0.98283</v>
      </c>
      <c r="M1647" t="n">
        <v>0.98283</v>
      </c>
      <c r="N1647" t="inlineStr">
        <is>
          <t>Yes</t>
        </is>
      </c>
      <c r="O1647" t="inlineStr">
        <is>
          <t>equal</t>
        </is>
      </c>
      <c r="P1647" t="inlineStr">
        <is>
          <t>deposited</t>
        </is>
      </c>
      <c r="Q1647" t="inlineStr"/>
      <c r="R1647" t="inlineStr"/>
      <c r="S1647">
        <f>HYPERLINK("https://helical-indexing-hi3d.streamlit.app/?emd_id=emd-18835&amp;rise=11.46&amp;twist=64.753&amp;csym=2&amp;rise2=11.46&amp;twist2=64.753&amp;csym2=2", "Link")</f>
        <v/>
      </c>
    </row>
    <row r="1648">
      <c r="A1648" t="inlineStr">
        <is>
          <t>EMD-18836</t>
        </is>
      </c>
      <c r="B1648" t="inlineStr">
        <is>
          <t>non-amyloid</t>
        </is>
      </c>
      <c r="C1648" t="n">
        <v>8.9</v>
      </c>
      <c r="D1648" t="n">
        <v>11.46</v>
      </c>
      <c r="E1648" t="n">
        <v>64.753</v>
      </c>
      <c r="F1648" t="inlineStr">
        <is>
          <t>D2</t>
        </is>
      </c>
      <c r="G1648" t="inlineStr">
        <is>
          <t>11.46</t>
        </is>
      </c>
      <c r="H1648" t="n">
        <v>64.753</v>
      </c>
      <c r="I1648" t="inlineStr">
        <is>
          <t>C2</t>
        </is>
      </c>
      <c r="J1648" t="n">
        <v>0</v>
      </c>
      <c r="K1648" t="inlineStr"/>
      <c r="L1648" t="n">
        <v>0.98285</v>
      </c>
      <c r="M1648" t="n">
        <v>0.98285</v>
      </c>
      <c r="N1648" t="inlineStr">
        <is>
          <t>Yes</t>
        </is>
      </c>
      <c r="O1648" t="inlineStr">
        <is>
          <t>equal</t>
        </is>
      </c>
      <c r="P1648" t="inlineStr">
        <is>
          <t>deposited</t>
        </is>
      </c>
      <c r="Q1648" t="inlineStr"/>
      <c r="R1648" t="inlineStr"/>
      <c r="S1648">
        <f>HYPERLINK("https://helical-indexing-hi3d.streamlit.app/?emd_id=emd-18836&amp;rise=11.46&amp;twist=64.753&amp;csym=2&amp;rise2=11.46&amp;twist2=64.753&amp;csym2=2", "Link")</f>
        <v/>
      </c>
    </row>
    <row r="1649">
      <c r="A1649" t="inlineStr">
        <is>
          <t>EMD-18831</t>
        </is>
      </c>
      <c r="B1649" t="inlineStr">
        <is>
          <t>non-amyloid</t>
        </is>
      </c>
      <c r="C1649" t="n">
        <v>8.5</v>
      </c>
      <c r="D1649" t="n">
        <v>11.46</v>
      </c>
      <c r="E1649" t="n">
        <v>64.753</v>
      </c>
      <c r="F1649" t="inlineStr">
        <is>
          <t>D2</t>
        </is>
      </c>
      <c r="G1649" t="inlineStr">
        <is>
          <t>11.46</t>
        </is>
      </c>
      <c r="H1649" t="n">
        <v>64.753</v>
      </c>
      <c r="I1649" t="inlineStr">
        <is>
          <t>C2</t>
        </is>
      </c>
      <c r="J1649" t="n">
        <v>0</v>
      </c>
      <c r="K1649" t="inlineStr"/>
      <c r="L1649" t="n">
        <v>0.9856200000000001</v>
      </c>
      <c r="M1649" t="n">
        <v>0.9856200000000001</v>
      </c>
      <c r="N1649" t="inlineStr">
        <is>
          <t>Yes</t>
        </is>
      </c>
      <c r="O1649" t="inlineStr">
        <is>
          <t>equal</t>
        </is>
      </c>
      <c r="P1649" t="inlineStr">
        <is>
          <t>deposited</t>
        </is>
      </c>
      <c r="Q1649" t="inlineStr"/>
      <c r="R1649" t="inlineStr"/>
      <c r="S1649">
        <f>HYPERLINK("https://helical-indexing-hi3d.streamlit.app/?emd_id=emd-18831&amp;rise=11.46&amp;twist=64.753&amp;csym=2&amp;rise2=11.46&amp;twist2=64.753&amp;csym2=2", "Link")</f>
        <v/>
      </c>
    </row>
    <row r="1650">
      <c r="A1650" t="inlineStr">
        <is>
          <t>EMD-18824</t>
        </is>
      </c>
      <c r="B1650" t="inlineStr">
        <is>
          <t>non-amyloid</t>
        </is>
      </c>
      <c r="C1650" t="n">
        <v>8.699999999999999</v>
      </c>
      <c r="D1650" t="n">
        <v>11.46</v>
      </c>
      <c r="E1650" t="n">
        <v>64.753</v>
      </c>
      <c r="F1650" t="inlineStr">
        <is>
          <t>D2</t>
        </is>
      </c>
      <c r="G1650" t="inlineStr">
        <is>
          <t>11.46</t>
        </is>
      </c>
      <c r="H1650" t="n">
        <v>64.753</v>
      </c>
      <c r="I1650" t="inlineStr">
        <is>
          <t>C2</t>
        </is>
      </c>
      <c r="J1650" t="n">
        <v>0</v>
      </c>
      <c r="K1650" t="inlineStr"/>
      <c r="L1650" t="n">
        <v>0.98477</v>
      </c>
      <c r="M1650" t="n">
        <v>0.98477</v>
      </c>
      <c r="N1650" t="inlineStr">
        <is>
          <t>Yes</t>
        </is>
      </c>
      <c r="O1650" t="inlineStr">
        <is>
          <t>equal</t>
        </is>
      </c>
      <c r="P1650" t="inlineStr">
        <is>
          <t>deposited</t>
        </is>
      </c>
      <c r="Q1650" t="inlineStr"/>
      <c r="R1650" t="inlineStr"/>
      <c r="S1650">
        <f>HYPERLINK("https://helical-indexing-hi3d.streamlit.app/?emd_id=emd-18824&amp;rise=11.46&amp;twist=64.753&amp;csym=2&amp;rise2=11.46&amp;twist2=64.753&amp;csym2=2", "Link")</f>
        <v/>
      </c>
    </row>
    <row r="1651">
      <c r="A1651" t="inlineStr">
        <is>
          <t>EMD-18844</t>
        </is>
      </c>
      <c r="B1651" t="inlineStr">
        <is>
          <t>non-amyloid</t>
        </is>
      </c>
      <c r="C1651" t="n">
        <v>8.4</v>
      </c>
      <c r="D1651" t="n">
        <v>5.88</v>
      </c>
      <c r="E1651" t="n">
        <v>146.976</v>
      </c>
      <c r="F1651" t="inlineStr">
        <is>
          <t>D1</t>
        </is>
      </c>
      <c r="G1651" t="inlineStr">
        <is>
          <t>5.88</t>
        </is>
      </c>
      <c r="H1651" t="n">
        <v>146.976</v>
      </c>
      <c r="I1651" t="inlineStr">
        <is>
          <t xml:space="preserve">C1 </t>
        </is>
      </c>
      <c r="J1651" t="n">
        <v>0</v>
      </c>
      <c r="K1651" t="inlineStr"/>
      <c r="L1651" t="n">
        <v>0.98387</v>
      </c>
      <c r="M1651" t="n">
        <v>0.98387</v>
      </c>
      <c r="N1651" t="inlineStr">
        <is>
          <t>Yes</t>
        </is>
      </c>
      <c r="O1651" t="inlineStr">
        <is>
          <t>equal</t>
        </is>
      </c>
      <c r="P1651" t="inlineStr">
        <is>
          <t>deposited</t>
        </is>
      </c>
      <c r="Q1651" t="inlineStr"/>
      <c r="R1651" t="inlineStr"/>
      <c r="S1651">
        <f>HYPERLINK("https://helical-indexing-hi3d.streamlit.app/?emd_id=emd-18844&amp;rise=5.88&amp;twist=146.976&amp;csym=1 &amp;rise2=5.88&amp;twist2=146.976&amp;csym2=1", "Link")</f>
        <v/>
      </c>
    </row>
    <row r="1652">
      <c r="A1652" t="inlineStr">
        <is>
          <t>EMD-18838</t>
        </is>
      </c>
      <c r="B1652" t="inlineStr">
        <is>
          <t>non-amyloid</t>
        </is>
      </c>
      <c r="C1652" t="n">
        <v>8.699999999999999</v>
      </c>
      <c r="D1652" t="n">
        <v>11.46</v>
      </c>
      <c r="E1652" t="n">
        <v>64.753</v>
      </c>
      <c r="F1652" t="inlineStr">
        <is>
          <t>D2</t>
        </is>
      </c>
      <c r="G1652" t="inlineStr">
        <is>
          <t>11.46</t>
        </is>
      </c>
      <c r="H1652" t="n">
        <v>64.753</v>
      </c>
      <c r="I1652" t="inlineStr">
        <is>
          <t>C2</t>
        </is>
      </c>
      <c r="J1652" t="n">
        <v>0</v>
      </c>
      <c r="K1652" t="inlineStr"/>
      <c r="L1652" t="n">
        <v>0.9838</v>
      </c>
      <c r="M1652" t="n">
        <v>0.9838</v>
      </c>
      <c r="N1652" t="inlineStr">
        <is>
          <t>Yes</t>
        </is>
      </c>
      <c r="O1652" t="inlineStr">
        <is>
          <t>equal</t>
        </is>
      </c>
      <c r="P1652" t="inlineStr">
        <is>
          <t>deposited</t>
        </is>
      </c>
      <c r="Q1652" t="inlineStr"/>
      <c r="R1652" t="inlineStr"/>
      <c r="S1652">
        <f>HYPERLINK("https://helical-indexing-hi3d.streamlit.app/?emd_id=emd-18838&amp;rise=11.46&amp;twist=64.753&amp;csym=2&amp;rise2=11.46&amp;twist2=64.753&amp;csym2=2", "Link")</f>
        <v/>
      </c>
    </row>
    <row r="1653">
      <c r="A1653" t="inlineStr">
        <is>
          <t>EMD-18843</t>
        </is>
      </c>
      <c r="B1653" t="inlineStr">
        <is>
          <t>non-amyloid</t>
        </is>
      </c>
      <c r="C1653" t="n">
        <v>8.9</v>
      </c>
      <c r="D1653" t="n">
        <v>5.88</v>
      </c>
      <c r="E1653" t="n">
        <v>146.976</v>
      </c>
      <c r="F1653" t="inlineStr">
        <is>
          <t>D1</t>
        </is>
      </c>
      <c r="G1653" t="inlineStr">
        <is>
          <t>5.88</t>
        </is>
      </c>
      <c r="H1653" t="n">
        <v>146.976</v>
      </c>
      <c r="I1653" t="inlineStr">
        <is>
          <t xml:space="preserve">C1 </t>
        </is>
      </c>
      <c r="J1653" t="n">
        <v>0</v>
      </c>
      <c r="K1653" t="inlineStr"/>
      <c r="L1653" t="n">
        <v>0.98342</v>
      </c>
      <c r="M1653" t="n">
        <v>0.98342</v>
      </c>
      <c r="N1653" t="inlineStr">
        <is>
          <t>Yes</t>
        </is>
      </c>
      <c r="O1653" t="inlineStr">
        <is>
          <t>equal</t>
        </is>
      </c>
      <c r="P1653" t="inlineStr">
        <is>
          <t>deposited</t>
        </is>
      </c>
      <c r="Q1653" t="inlineStr"/>
      <c r="R1653" t="inlineStr"/>
      <c r="S1653">
        <f>HYPERLINK("https://helical-indexing-hi3d.streamlit.app/?emd_id=emd-18843&amp;rise=5.88&amp;twist=146.976&amp;csym=1 &amp;rise2=5.88&amp;twist2=146.976&amp;csym2=1", "Link")</f>
        <v/>
      </c>
    </row>
    <row r="1654">
      <c r="A1654" t="inlineStr">
        <is>
          <t>EMD-18837</t>
        </is>
      </c>
      <c r="B1654" t="inlineStr">
        <is>
          <t>non-amyloid</t>
        </is>
      </c>
      <c r="C1654" t="n">
        <v>8.6</v>
      </c>
      <c r="D1654" t="n">
        <v>11.46</v>
      </c>
      <c r="E1654" t="n">
        <v>64.753</v>
      </c>
      <c r="F1654" t="inlineStr">
        <is>
          <t>D2</t>
        </is>
      </c>
      <c r="G1654" t="inlineStr">
        <is>
          <t>11.46</t>
        </is>
      </c>
      <c r="H1654" t="n">
        <v>64.753</v>
      </c>
      <c r="I1654" t="inlineStr">
        <is>
          <t>C2</t>
        </is>
      </c>
      <c r="J1654" t="n">
        <v>0</v>
      </c>
      <c r="K1654" t="inlineStr"/>
      <c r="L1654" t="n">
        <v>0.98459</v>
      </c>
      <c r="M1654" t="n">
        <v>0.98459</v>
      </c>
      <c r="N1654" t="inlineStr">
        <is>
          <t>Yes</t>
        </is>
      </c>
      <c r="O1654" t="inlineStr">
        <is>
          <t>equal</t>
        </is>
      </c>
      <c r="P1654" t="inlineStr">
        <is>
          <t>deposited</t>
        </is>
      </c>
      <c r="Q1654" t="inlineStr"/>
      <c r="R1654" t="inlineStr"/>
      <c r="S1654">
        <f>HYPERLINK("https://helical-indexing-hi3d.streamlit.app/?emd_id=emd-18837&amp;rise=11.46&amp;twist=64.753&amp;csym=2&amp;rise2=11.46&amp;twist2=64.753&amp;csym2=2", "Link")</f>
        <v/>
      </c>
    </row>
    <row r="1655">
      <c r="A1655" t="inlineStr">
        <is>
          <t>EMD-18840</t>
        </is>
      </c>
      <c r="B1655" t="inlineStr">
        <is>
          <t>non-amyloid</t>
        </is>
      </c>
      <c r="C1655" t="n">
        <v>8.300000000000001</v>
      </c>
      <c r="D1655" t="n">
        <v>11.46</v>
      </c>
      <c r="E1655" t="n">
        <v>64.753</v>
      </c>
      <c r="F1655" t="inlineStr">
        <is>
          <t>D2</t>
        </is>
      </c>
      <c r="G1655" t="inlineStr">
        <is>
          <t>11.46</t>
        </is>
      </c>
      <c r="H1655" t="n">
        <v>64.753</v>
      </c>
      <c r="I1655" t="inlineStr">
        <is>
          <t>C2</t>
        </is>
      </c>
      <c r="J1655" t="n">
        <v>0</v>
      </c>
      <c r="K1655" t="inlineStr"/>
      <c r="L1655" t="n">
        <v>0.98211</v>
      </c>
      <c r="M1655" t="n">
        <v>0.98211</v>
      </c>
      <c r="N1655" t="inlineStr">
        <is>
          <t>Yes</t>
        </is>
      </c>
      <c r="O1655" t="inlineStr">
        <is>
          <t>equal</t>
        </is>
      </c>
      <c r="P1655" t="inlineStr">
        <is>
          <t>deposited</t>
        </is>
      </c>
      <c r="Q1655" t="inlineStr"/>
      <c r="R1655" t="inlineStr"/>
      <c r="S1655">
        <f>HYPERLINK("https://helical-indexing-hi3d.streamlit.app/?emd_id=emd-18840&amp;rise=11.46&amp;twist=64.753&amp;csym=2&amp;rise2=11.46&amp;twist2=64.753&amp;csym2=2", "Link")</f>
        <v/>
      </c>
    </row>
    <row r="1656">
      <c r="A1656" t="inlineStr">
        <is>
          <t>EMD-18845</t>
        </is>
      </c>
      <c r="B1656" t="inlineStr">
        <is>
          <t>non-amyloid</t>
        </is>
      </c>
      <c r="C1656" t="n">
        <v>8.800000000000001</v>
      </c>
      <c r="D1656" t="n">
        <v>5.88</v>
      </c>
      <c r="E1656" t="n">
        <v>146.976</v>
      </c>
      <c r="F1656" t="inlineStr">
        <is>
          <t>D1</t>
        </is>
      </c>
      <c r="G1656" t="inlineStr">
        <is>
          <t>5.88</t>
        </is>
      </c>
      <c r="H1656" t="n">
        <v>146.976</v>
      </c>
      <c r="I1656" t="inlineStr">
        <is>
          <t xml:space="preserve">C1 </t>
        </is>
      </c>
      <c r="J1656" t="n">
        <v>0</v>
      </c>
      <c r="K1656" t="inlineStr"/>
      <c r="L1656" t="n">
        <v>0.98354</v>
      </c>
      <c r="M1656" t="n">
        <v>0.98354</v>
      </c>
      <c r="N1656" t="inlineStr">
        <is>
          <t>Yes</t>
        </is>
      </c>
      <c r="O1656" t="inlineStr">
        <is>
          <t>equal</t>
        </is>
      </c>
      <c r="P1656" t="inlineStr">
        <is>
          <t>deposited</t>
        </is>
      </c>
      <c r="Q1656" t="inlineStr"/>
      <c r="R1656" t="inlineStr"/>
      <c r="S1656">
        <f>HYPERLINK("https://helical-indexing-hi3d.streamlit.app/?emd_id=emd-18845&amp;rise=5.88&amp;twist=146.976&amp;csym=1 &amp;rise2=5.88&amp;twist2=146.976&amp;csym2=1", "Link")</f>
        <v/>
      </c>
    </row>
    <row r="1657">
      <c r="A1657" t="inlineStr">
        <is>
          <t>EMD-18804</t>
        </is>
      </c>
      <c r="B1657" t="inlineStr">
        <is>
          <t>non-amyloid</t>
        </is>
      </c>
      <c r="C1657" t="n">
        <v>8</v>
      </c>
      <c r="D1657" t="n">
        <v>11.46</v>
      </c>
      <c r="E1657" t="n">
        <v>64.753</v>
      </c>
      <c r="F1657" t="inlineStr">
        <is>
          <t>D2</t>
        </is>
      </c>
      <c r="G1657" t="inlineStr">
        <is>
          <t>11.46</t>
        </is>
      </c>
      <c r="H1657" t="n">
        <v>64.753</v>
      </c>
      <c r="I1657" t="inlineStr">
        <is>
          <t>C2</t>
        </is>
      </c>
      <c r="J1657" t="n">
        <v>0</v>
      </c>
      <c r="K1657" t="inlineStr"/>
      <c r="L1657" t="n">
        <v>0.98287</v>
      </c>
      <c r="M1657" t="n">
        <v>0.98287</v>
      </c>
      <c r="N1657" t="inlineStr">
        <is>
          <t>Yes</t>
        </is>
      </c>
      <c r="O1657" t="inlineStr">
        <is>
          <t>equal</t>
        </is>
      </c>
      <c r="P1657" t="inlineStr">
        <is>
          <t>deposited</t>
        </is>
      </c>
      <c r="Q1657" t="inlineStr"/>
      <c r="R1657" t="inlineStr"/>
      <c r="S1657">
        <f>HYPERLINK("https://helical-indexing-hi3d.streamlit.app/?emd_id=emd-18804&amp;rise=11.46&amp;twist=64.753&amp;csym=2&amp;rise2=11.46&amp;twist2=64.753&amp;csym2=2", "Link")</f>
        <v/>
      </c>
    </row>
    <row r="1658">
      <c r="A1658" t="inlineStr">
        <is>
          <t>EMD-18802</t>
        </is>
      </c>
      <c r="B1658" t="inlineStr">
        <is>
          <t>non-amyloid</t>
        </is>
      </c>
      <c r="C1658" t="n">
        <v>8.6</v>
      </c>
      <c r="D1658" t="n">
        <v>11.46</v>
      </c>
      <c r="E1658" t="n">
        <v>64.753</v>
      </c>
      <c r="F1658" t="inlineStr">
        <is>
          <t>D2</t>
        </is>
      </c>
      <c r="G1658" t="inlineStr">
        <is>
          <t>11.46</t>
        </is>
      </c>
      <c r="H1658" t="n">
        <v>64.753</v>
      </c>
      <c r="I1658" t="inlineStr">
        <is>
          <t>C2</t>
        </is>
      </c>
      <c r="J1658" t="n">
        <v>0</v>
      </c>
      <c r="K1658" t="inlineStr"/>
      <c r="L1658" t="n">
        <v>0.98436</v>
      </c>
      <c r="M1658" t="n">
        <v>0.98436</v>
      </c>
      <c r="N1658" t="inlineStr">
        <is>
          <t>Yes</t>
        </is>
      </c>
      <c r="O1658" t="inlineStr">
        <is>
          <t>equal</t>
        </is>
      </c>
      <c r="P1658" t="inlineStr">
        <is>
          <t>deposited</t>
        </is>
      </c>
      <c r="Q1658" t="inlineStr"/>
      <c r="R1658" t="inlineStr"/>
      <c r="S1658">
        <f>HYPERLINK("https://helical-indexing-hi3d.streamlit.app/?emd_id=emd-18802&amp;rise=11.46&amp;twist=64.753&amp;csym=2&amp;rise2=11.46&amp;twist2=64.753&amp;csym2=2", "Link")</f>
        <v/>
      </c>
    </row>
    <row r="1659">
      <c r="A1659" t="inlineStr">
        <is>
          <t>EMD-18805</t>
        </is>
      </c>
      <c r="B1659" t="inlineStr">
        <is>
          <t>non-amyloid</t>
        </is>
      </c>
      <c r="C1659" t="n">
        <v>9</v>
      </c>
      <c r="D1659" t="n">
        <v>11.46</v>
      </c>
      <c r="E1659" t="n">
        <v>64.753</v>
      </c>
      <c r="F1659" t="inlineStr">
        <is>
          <t>D2</t>
        </is>
      </c>
      <c r="G1659" t="inlineStr">
        <is>
          <t>11.46</t>
        </is>
      </c>
      <c r="H1659" t="n">
        <v>64.753</v>
      </c>
      <c r="I1659" t="inlineStr">
        <is>
          <t>C2</t>
        </is>
      </c>
      <c r="J1659" t="n">
        <v>0</v>
      </c>
      <c r="K1659" t="inlineStr"/>
      <c r="L1659" t="n">
        <v>0.9818</v>
      </c>
      <c r="M1659" t="n">
        <v>0.9818</v>
      </c>
      <c r="N1659" t="inlineStr">
        <is>
          <t>Yes</t>
        </is>
      </c>
      <c r="O1659" t="inlineStr">
        <is>
          <t>equal</t>
        </is>
      </c>
      <c r="P1659" t="inlineStr">
        <is>
          <t>deposited</t>
        </is>
      </c>
      <c r="Q1659" t="inlineStr"/>
      <c r="R1659" t="inlineStr"/>
      <c r="S1659">
        <f>HYPERLINK("https://helical-indexing-hi3d.streamlit.app/?emd_id=emd-18805&amp;rise=11.46&amp;twist=64.753&amp;csym=2&amp;rise2=11.46&amp;twist2=64.753&amp;csym2=2", "Link")</f>
        <v/>
      </c>
    </row>
    <row r="1660">
      <c r="A1660" t="inlineStr">
        <is>
          <t>EMD-18785</t>
        </is>
      </c>
      <c r="B1660" t="inlineStr">
        <is>
          <t>non-amyloid</t>
        </is>
      </c>
      <c r="C1660" t="n">
        <v>8.5</v>
      </c>
      <c r="D1660" t="n">
        <v>11.46</v>
      </c>
      <c r="E1660" t="n">
        <v>64.753</v>
      </c>
      <c r="F1660" t="inlineStr">
        <is>
          <t>D2</t>
        </is>
      </c>
      <c r="G1660" t="inlineStr">
        <is>
          <t>11.46</t>
        </is>
      </c>
      <c r="H1660" t="n">
        <v>64.753</v>
      </c>
      <c r="I1660" t="inlineStr">
        <is>
          <t>C2</t>
        </is>
      </c>
      <c r="J1660" t="n">
        <v>0</v>
      </c>
      <c r="K1660" t="inlineStr"/>
      <c r="L1660" t="n">
        <v>0.98145</v>
      </c>
      <c r="M1660" t="n">
        <v>0.98145</v>
      </c>
      <c r="N1660" t="inlineStr">
        <is>
          <t>Yes</t>
        </is>
      </c>
      <c r="O1660" t="inlineStr">
        <is>
          <t>equal</t>
        </is>
      </c>
      <c r="P1660" t="inlineStr">
        <is>
          <t>deposited</t>
        </is>
      </c>
      <c r="Q1660" t="inlineStr"/>
      <c r="R1660" t="inlineStr"/>
      <c r="S1660">
        <f>HYPERLINK("https://helical-indexing-hi3d.streamlit.app/?emd_id=emd-18785&amp;rise=11.46&amp;twist=64.753&amp;csym=2&amp;rise2=11.46&amp;twist2=64.753&amp;csym2=2", "Link")</f>
        <v/>
      </c>
    </row>
    <row r="1661">
      <c r="A1661" t="inlineStr">
        <is>
          <t>EMD-18816</t>
        </is>
      </c>
      <c r="B1661" t="inlineStr">
        <is>
          <t>non-amyloid</t>
        </is>
      </c>
      <c r="C1661" t="n">
        <v>8.800000000000001</v>
      </c>
      <c r="D1661" t="n">
        <v>11.46</v>
      </c>
      <c r="E1661" t="n">
        <v>64.753</v>
      </c>
      <c r="F1661" t="inlineStr">
        <is>
          <t>D2</t>
        </is>
      </c>
      <c r="G1661" t="inlineStr">
        <is>
          <t>11.46</t>
        </is>
      </c>
      <c r="H1661" t="n">
        <v>64.753</v>
      </c>
      <c r="I1661" t="inlineStr">
        <is>
          <t>C2</t>
        </is>
      </c>
      <c r="J1661" t="n">
        <v>0</v>
      </c>
      <c r="K1661" t="inlineStr"/>
      <c r="L1661" t="n">
        <v>0.98461</v>
      </c>
      <c r="M1661" t="n">
        <v>0.98461</v>
      </c>
      <c r="N1661" t="inlineStr">
        <is>
          <t>Yes</t>
        </is>
      </c>
      <c r="O1661" t="inlineStr">
        <is>
          <t>equal</t>
        </is>
      </c>
      <c r="P1661" t="inlineStr">
        <is>
          <t>deposited</t>
        </is>
      </c>
      <c r="Q1661" t="inlineStr"/>
      <c r="R1661" t="inlineStr"/>
      <c r="S1661">
        <f>HYPERLINK("https://helical-indexing-hi3d.streamlit.app/?emd_id=emd-18816&amp;rise=11.46&amp;twist=64.753&amp;csym=2&amp;rise2=11.46&amp;twist2=64.753&amp;csym2=2", "Link")</f>
        <v/>
      </c>
    </row>
    <row r="1662">
      <c r="A1662" t="inlineStr">
        <is>
          <t>EMD-18855</t>
        </is>
      </c>
      <c r="B1662" t="inlineStr">
        <is>
          <t>non-amyloid</t>
        </is>
      </c>
      <c r="C1662" t="n">
        <v>9.4</v>
      </c>
      <c r="D1662" t="n">
        <v>5.88</v>
      </c>
      <c r="E1662" t="n">
        <v>146.976</v>
      </c>
      <c r="F1662" t="inlineStr">
        <is>
          <t>D1</t>
        </is>
      </c>
      <c r="G1662" t="inlineStr">
        <is>
          <t>5.88</t>
        </is>
      </c>
      <c r="H1662" t="n">
        <v>146.976</v>
      </c>
      <c r="I1662" t="inlineStr">
        <is>
          <t xml:space="preserve">C1 </t>
        </is>
      </c>
      <c r="J1662" t="n">
        <v>0</v>
      </c>
      <c r="K1662" t="inlineStr"/>
      <c r="L1662" t="n">
        <v>0.98487</v>
      </c>
      <c r="M1662" t="n">
        <v>0.98487</v>
      </c>
      <c r="N1662" t="inlineStr">
        <is>
          <t>Yes</t>
        </is>
      </c>
      <c r="O1662" t="inlineStr">
        <is>
          <t>equal</t>
        </is>
      </c>
      <c r="P1662" t="inlineStr">
        <is>
          <t>deposited</t>
        </is>
      </c>
      <c r="Q1662" t="inlineStr"/>
      <c r="R1662" t="inlineStr"/>
      <c r="S1662">
        <f>HYPERLINK("https://helical-indexing-hi3d.streamlit.app/?emd_id=emd-18855&amp;rise=5.88&amp;twist=146.976&amp;csym=1 &amp;rise2=5.88&amp;twist2=146.976&amp;csym2=1", "Link")</f>
        <v/>
      </c>
    </row>
    <row r="1663">
      <c r="A1663" t="inlineStr">
        <is>
          <t>EMD-18865</t>
        </is>
      </c>
      <c r="B1663" t="inlineStr">
        <is>
          <t>non-amyloid</t>
        </is>
      </c>
      <c r="C1663" t="n">
        <v>8.5</v>
      </c>
      <c r="D1663" t="n">
        <v>5.88</v>
      </c>
      <c r="E1663" t="n">
        <v>146.976</v>
      </c>
      <c r="F1663" t="inlineStr">
        <is>
          <t>D1</t>
        </is>
      </c>
      <c r="G1663" t="inlineStr">
        <is>
          <t>5.88</t>
        </is>
      </c>
      <c r="H1663" t="n">
        <v>146.976</v>
      </c>
      <c r="I1663" t="inlineStr">
        <is>
          <t xml:space="preserve">C1 </t>
        </is>
      </c>
      <c r="J1663" t="n">
        <v>0</v>
      </c>
      <c r="K1663" t="inlineStr"/>
      <c r="L1663" t="n">
        <v>0.98441</v>
      </c>
      <c r="M1663" t="n">
        <v>0.98441</v>
      </c>
      <c r="N1663" t="inlineStr">
        <is>
          <t>Yes</t>
        </is>
      </c>
      <c r="O1663" t="inlineStr">
        <is>
          <t>equal</t>
        </is>
      </c>
      <c r="P1663" t="inlineStr">
        <is>
          <t>deposited</t>
        </is>
      </c>
      <c r="Q1663" t="inlineStr"/>
      <c r="R1663" t="inlineStr"/>
      <c r="S1663">
        <f>HYPERLINK("https://helical-indexing-hi3d.streamlit.app/?emd_id=emd-18865&amp;rise=5.88&amp;twist=146.976&amp;csym=1 &amp;rise2=5.88&amp;twist2=146.976&amp;csym2=1", "Link")</f>
        <v/>
      </c>
    </row>
    <row r="1664">
      <c r="A1664" t="inlineStr">
        <is>
          <t>EMD-18858</t>
        </is>
      </c>
      <c r="B1664" t="inlineStr">
        <is>
          <t>non-amyloid</t>
        </is>
      </c>
      <c r="C1664" t="n">
        <v>8.6</v>
      </c>
      <c r="D1664" t="n">
        <v>5.88</v>
      </c>
      <c r="E1664" t="n">
        <v>146.976</v>
      </c>
      <c r="F1664" t="inlineStr">
        <is>
          <t>D1</t>
        </is>
      </c>
      <c r="G1664" t="inlineStr">
        <is>
          <t>5.88</t>
        </is>
      </c>
      <c r="H1664" t="n">
        <v>146.976</v>
      </c>
      <c r="I1664" t="inlineStr">
        <is>
          <t xml:space="preserve">C1 </t>
        </is>
      </c>
      <c r="J1664" t="n">
        <v>0</v>
      </c>
      <c r="K1664" t="inlineStr"/>
      <c r="L1664" t="n">
        <v>0.98365</v>
      </c>
      <c r="M1664" t="n">
        <v>0.98365</v>
      </c>
      <c r="N1664" t="inlineStr">
        <is>
          <t>Yes</t>
        </is>
      </c>
      <c r="O1664" t="inlineStr">
        <is>
          <t>equal</t>
        </is>
      </c>
      <c r="P1664" t="inlineStr">
        <is>
          <t>deposited</t>
        </is>
      </c>
      <c r="Q1664" t="inlineStr"/>
      <c r="R1664" t="inlineStr"/>
      <c r="S1664">
        <f>HYPERLINK("https://helical-indexing-hi3d.streamlit.app/?emd_id=emd-18858&amp;rise=5.88&amp;twist=146.976&amp;csym=1 &amp;rise2=5.88&amp;twist2=146.976&amp;csym2=1", "Link")</f>
        <v/>
      </c>
    </row>
    <row r="1665">
      <c r="A1665" t="inlineStr">
        <is>
          <t>EMD-18856</t>
        </is>
      </c>
      <c r="B1665" t="inlineStr">
        <is>
          <t>non-amyloid</t>
        </is>
      </c>
      <c r="C1665" t="n">
        <v>8.699999999999999</v>
      </c>
      <c r="D1665" t="n">
        <v>5.88</v>
      </c>
      <c r="E1665" t="n">
        <v>146.976</v>
      </c>
      <c r="F1665" t="inlineStr">
        <is>
          <t>D1</t>
        </is>
      </c>
      <c r="G1665" t="inlineStr">
        <is>
          <t>5.88</t>
        </is>
      </c>
      <c r="H1665" t="n">
        <v>146.976</v>
      </c>
      <c r="I1665" t="inlineStr">
        <is>
          <t xml:space="preserve">C1 </t>
        </is>
      </c>
      <c r="J1665" t="n">
        <v>0</v>
      </c>
      <c r="K1665" t="inlineStr"/>
      <c r="L1665" t="n">
        <v>0.9831800000000001</v>
      </c>
      <c r="M1665" t="n">
        <v>0.9831800000000001</v>
      </c>
      <c r="N1665" t="inlineStr">
        <is>
          <t>Yes</t>
        </is>
      </c>
      <c r="O1665" t="inlineStr">
        <is>
          <t>equal</t>
        </is>
      </c>
      <c r="P1665" t="inlineStr">
        <is>
          <t>deposited</t>
        </is>
      </c>
      <c r="Q1665" t="inlineStr"/>
      <c r="R1665" t="inlineStr"/>
      <c r="S1665">
        <f>HYPERLINK("https://helical-indexing-hi3d.streamlit.app/?emd_id=emd-18856&amp;rise=5.88&amp;twist=146.976&amp;csym=1 &amp;rise2=5.88&amp;twist2=146.976&amp;csym2=1", "Link")</f>
        <v/>
      </c>
    </row>
    <row r="1666">
      <c r="A1666" t="inlineStr">
        <is>
          <t>EMD-18862</t>
        </is>
      </c>
      <c r="B1666" t="inlineStr">
        <is>
          <t>non-amyloid</t>
        </is>
      </c>
      <c r="C1666" t="n">
        <v>8.800000000000001</v>
      </c>
      <c r="D1666" t="n">
        <v>5.88</v>
      </c>
      <c r="E1666" t="n">
        <v>146.976</v>
      </c>
      <c r="F1666" t="inlineStr">
        <is>
          <t>D1</t>
        </is>
      </c>
      <c r="G1666" t="inlineStr">
        <is>
          <t>5.88</t>
        </is>
      </c>
      <c r="H1666" t="n">
        <v>146.976</v>
      </c>
      <c r="I1666" t="inlineStr">
        <is>
          <t xml:space="preserve">C1 </t>
        </is>
      </c>
      <c r="J1666" t="n">
        <v>0</v>
      </c>
      <c r="K1666" t="inlineStr"/>
      <c r="L1666" t="n">
        <v>0.98269</v>
      </c>
      <c r="M1666" t="n">
        <v>0.98269</v>
      </c>
      <c r="N1666" t="inlineStr">
        <is>
          <t>Yes</t>
        </is>
      </c>
      <c r="O1666" t="inlineStr">
        <is>
          <t>equal</t>
        </is>
      </c>
      <c r="P1666" t="inlineStr">
        <is>
          <t>deposited</t>
        </is>
      </c>
      <c r="Q1666" t="inlineStr"/>
      <c r="R1666" t="inlineStr"/>
      <c r="S1666">
        <f>HYPERLINK("https://helical-indexing-hi3d.streamlit.app/?emd_id=emd-18862&amp;rise=5.88&amp;twist=146.976&amp;csym=1 &amp;rise2=5.88&amp;twist2=146.976&amp;csym2=1", "Link")</f>
        <v/>
      </c>
    </row>
    <row r="1667">
      <c r="A1667" t="inlineStr">
        <is>
          <t>EMD-18857</t>
        </is>
      </c>
      <c r="B1667" t="inlineStr">
        <is>
          <t>non-amyloid</t>
        </is>
      </c>
      <c r="C1667" t="n">
        <v>8.5</v>
      </c>
      <c r="D1667" t="n">
        <v>5.88</v>
      </c>
      <c r="E1667" t="n">
        <v>146.976</v>
      </c>
      <c r="F1667" t="inlineStr">
        <is>
          <t>D1</t>
        </is>
      </c>
      <c r="G1667" t="inlineStr">
        <is>
          <t>5.88</t>
        </is>
      </c>
      <c r="H1667" t="n">
        <v>146.976</v>
      </c>
      <c r="I1667" t="inlineStr">
        <is>
          <t xml:space="preserve">C1 </t>
        </is>
      </c>
      <c r="J1667" t="n">
        <v>0</v>
      </c>
      <c r="K1667" t="inlineStr"/>
      <c r="L1667" t="n">
        <v>0.98611</v>
      </c>
      <c r="M1667" t="n">
        <v>0.98611</v>
      </c>
      <c r="N1667" t="inlineStr">
        <is>
          <t>Yes</t>
        </is>
      </c>
      <c r="O1667" t="inlineStr">
        <is>
          <t>equal</t>
        </is>
      </c>
      <c r="P1667" t="inlineStr">
        <is>
          <t>deposited</t>
        </is>
      </c>
      <c r="Q1667" t="inlineStr"/>
      <c r="R1667" t="inlineStr"/>
      <c r="S1667">
        <f>HYPERLINK("https://helical-indexing-hi3d.streamlit.app/?emd_id=emd-18857&amp;rise=5.88&amp;twist=146.976&amp;csym=1 &amp;rise2=5.88&amp;twist2=146.976&amp;csym2=1", "Link")</f>
        <v/>
      </c>
    </row>
    <row r="1668">
      <c r="A1668" t="inlineStr">
        <is>
          <t>EMD-18863</t>
        </is>
      </c>
      <c r="B1668" t="inlineStr">
        <is>
          <t>non-amyloid</t>
        </is>
      </c>
      <c r="C1668" t="n">
        <v>9.1</v>
      </c>
      <c r="D1668" t="n">
        <v>5.88</v>
      </c>
      <c r="E1668" t="n">
        <v>146.976</v>
      </c>
      <c r="F1668" t="inlineStr">
        <is>
          <t>D1</t>
        </is>
      </c>
      <c r="G1668" t="inlineStr">
        <is>
          <t>5.88</t>
        </is>
      </c>
      <c r="H1668" t="n">
        <v>146.976</v>
      </c>
      <c r="I1668" t="inlineStr">
        <is>
          <t>C1</t>
        </is>
      </c>
      <c r="J1668" t="n">
        <v>0</v>
      </c>
      <c r="K1668" t="inlineStr"/>
      <c r="L1668" t="n">
        <v>0.9819099999999999</v>
      </c>
      <c r="M1668" t="n">
        <v>0.9819099999999999</v>
      </c>
      <c r="N1668" t="inlineStr">
        <is>
          <t>Yes</t>
        </is>
      </c>
      <c r="O1668" t="inlineStr">
        <is>
          <t>equal</t>
        </is>
      </c>
      <c r="P1668" t="inlineStr">
        <is>
          <t>deposited</t>
        </is>
      </c>
      <c r="Q1668" t="inlineStr"/>
      <c r="R1668" t="inlineStr"/>
      <c r="S1668">
        <f>HYPERLINK("https://helical-indexing-hi3d.streamlit.app/?emd_id=emd-18863&amp;rise=5.88&amp;twist=146.976&amp;csym=1&amp;rise2=5.88&amp;twist2=146.976&amp;csym2=1", "Link")</f>
        <v/>
      </c>
    </row>
    <row r="1669">
      <c r="A1669" t="inlineStr">
        <is>
          <t>EMD-18817</t>
        </is>
      </c>
      <c r="B1669" t="inlineStr">
        <is>
          <t>non-amyloid</t>
        </is>
      </c>
      <c r="C1669" t="n">
        <v>8.800000000000001</v>
      </c>
      <c r="D1669" t="n">
        <v>11.46</v>
      </c>
      <c r="E1669" t="n">
        <v>64.753</v>
      </c>
      <c r="F1669" t="inlineStr">
        <is>
          <t>D2</t>
        </is>
      </c>
      <c r="G1669" t="inlineStr">
        <is>
          <t>11.46</t>
        </is>
      </c>
      <c r="H1669" t="n">
        <v>64.753</v>
      </c>
      <c r="I1669" t="inlineStr">
        <is>
          <t>C2</t>
        </is>
      </c>
      <c r="J1669" t="n">
        <v>0</v>
      </c>
      <c r="K1669" t="inlineStr"/>
      <c r="L1669" t="n">
        <v>0.98292</v>
      </c>
      <c r="M1669" t="n">
        <v>0.98292</v>
      </c>
      <c r="N1669" t="inlineStr">
        <is>
          <t>Yes</t>
        </is>
      </c>
      <c r="O1669" t="inlineStr">
        <is>
          <t>equal</t>
        </is>
      </c>
      <c r="P1669" t="inlineStr">
        <is>
          <t>deposited</t>
        </is>
      </c>
      <c r="Q1669" t="inlineStr"/>
      <c r="R1669" t="inlineStr"/>
      <c r="S1669">
        <f>HYPERLINK("https://helical-indexing-hi3d.streamlit.app/?emd_id=emd-18817&amp;rise=11.46&amp;twist=64.753&amp;csym=2&amp;rise2=11.46&amp;twist2=64.753&amp;csym2=2", "Link")</f>
        <v/>
      </c>
    </row>
    <row r="1670">
      <c r="A1670" t="inlineStr">
        <is>
          <t>EMD-18823</t>
        </is>
      </c>
      <c r="B1670" t="inlineStr">
        <is>
          <t>non-amyloid</t>
        </is>
      </c>
      <c r="C1670" t="n">
        <v>9.300000000000001</v>
      </c>
      <c r="D1670" t="n">
        <v>11.46</v>
      </c>
      <c r="E1670" t="n">
        <v>64.753</v>
      </c>
      <c r="F1670" t="inlineStr">
        <is>
          <t>D2</t>
        </is>
      </c>
      <c r="G1670" t="inlineStr">
        <is>
          <t>11.46</t>
        </is>
      </c>
      <c r="H1670" t="n">
        <v>64.753</v>
      </c>
      <c r="I1670" t="inlineStr">
        <is>
          <t>C2</t>
        </is>
      </c>
      <c r="J1670" t="n">
        <v>0</v>
      </c>
      <c r="K1670" t="inlineStr"/>
      <c r="L1670" t="n">
        <v>0.98298</v>
      </c>
      <c r="M1670" t="n">
        <v>0.98298</v>
      </c>
      <c r="N1670" t="inlineStr">
        <is>
          <t>Yes</t>
        </is>
      </c>
      <c r="O1670" t="inlineStr">
        <is>
          <t>equal</t>
        </is>
      </c>
      <c r="P1670" t="inlineStr">
        <is>
          <t>deposited</t>
        </is>
      </c>
      <c r="Q1670" t="inlineStr"/>
      <c r="R1670" t="inlineStr"/>
      <c r="S1670">
        <f>HYPERLINK("https://helical-indexing-hi3d.streamlit.app/?emd_id=emd-18823&amp;rise=11.46&amp;twist=64.753&amp;csym=2&amp;rise2=11.46&amp;twist2=64.753&amp;csym2=2", "Link")</f>
        <v/>
      </c>
    </row>
    <row r="1671">
      <c r="A1671" t="inlineStr">
        <is>
          <t>EMD-18846</t>
        </is>
      </c>
      <c r="B1671" t="inlineStr">
        <is>
          <t>non-amyloid</t>
        </is>
      </c>
      <c r="C1671" t="n">
        <v>8.9</v>
      </c>
      <c r="D1671" t="n">
        <v>5.88</v>
      </c>
      <c r="E1671" t="n">
        <v>146.976</v>
      </c>
      <c r="F1671" t="inlineStr">
        <is>
          <t>D1</t>
        </is>
      </c>
      <c r="G1671" t="inlineStr">
        <is>
          <t>5.88</t>
        </is>
      </c>
      <c r="H1671" t="n">
        <v>146.976</v>
      </c>
      <c r="I1671" t="inlineStr">
        <is>
          <t xml:space="preserve">C1 </t>
        </is>
      </c>
      <c r="J1671" t="n">
        <v>0</v>
      </c>
      <c r="K1671" t="inlineStr"/>
      <c r="L1671" t="n">
        <v>0.98366</v>
      </c>
      <c r="M1671" t="n">
        <v>0.98366</v>
      </c>
      <c r="N1671" t="inlineStr">
        <is>
          <t>Yes</t>
        </is>
      </c>
      <c r="O1671" t="inlineStr">
        <is>
          <t>equal</t>
        </is>
      </c>
      <c r="P1671" t="inlineStr">
        <is>
          <t>deposited</t>
        </is>
      </c>
      <c r="Q1671" t="inlineStr"/>
      <c r="R1671" t="inlineStr"/>
      <c r="S1671">
        <f>HYPERLINK("https://helical-indexing-hi3d.streamlit.app/?emd_id=emd-18846&amp;rise=5.88&amp;twist=146.976&amp;csym=1 &amp;rise2=5.88&amp;twist2=146.976&amp;csym2=1", "Link")</f>
        <v/>
      </c>
    </row>
    <row r="1672">
      <c r="A1672" t="inlineStr">
        <is>
          <t>EMD-18854</t>
        </is>
      </c>
      <c r="B1672" t="inlineStr">
        <is>
          <t>non-amyloid</t>
        </is>
      </c>
      <c r="C1672" t="n">
        <v>9.1</v>
      </c>
      <c r="D1672" t="n">
        <v>5.88</v>
      </c>
      <c r="E1672" t="n">
        <v>146.976</v>
      </c>
      <c r="F1672" t="inlineStr">
        <is>
          <t>D1</t>
        </is>
      </c>
      <c r="G1672" t="inlineStr">
        <is>
          <t>5.88</t>
        </is>
      </c>
      <c r="H1672" t="n">
        <v>146.976</v>
      </c>
      <c r="I1672" t="inlineStr">
        <is>
          <t xml:space="preserve">C1 </t>
        </is>
      </c>
      <c r="J1672" t="n">
        <v>0</v>
      </c>
      <c r="K1672" t="inlineStr"/>
      <c r="L1672" t="n">
        <v>0.98423</v>
      </c>
      <c r="M1672" t="n">
        <v>0.98423</v>
      </c>
      <c r="N1672" t="inlineStr">
        <is>
          <t>Yes</t>
        </is>
      </c>
      <c r="O1672" t="inlineStr">
        <is>
          <t>equal</t>
        </is>
      </c>
      <c r="P1672" t="inlineStr">
        <is>
          <t>deposited</t>
        </is>
      </c>
      <c r="Q1672" t="inlineStr"/>
      <c r="R1672" t="inlineStr"/>
      <c r="S1672">
        <f>HYPERLINK("https://helical-indexing-hi3d.streamlit.app/?emd_id=emd-18854&amp;rise=5.88&amp;twist=146.976&amp;csym=1 &amp;rise2=5.88&amp;twist2=146.976&amp;csym2=1", "Link")</f>
        <v/>
      </c>
    </row>
    <row r="1673">
      <c r="A1673" t="inlineStr">
        <is>
          <t>EMD-18853</t>
        </is>
      </c>
      <c r="B1673" t="inlineStr">
        <is>
          <t>non-amyloid</t>
        </is>
      </c>
      <c r="C1673" t="n">
        <v>8.9</v>
      </c>
      <c r="D1673" t="n">
        <v>5.88</v>
      </c>
      <c r="E1673" t="n">
        <v>146.976</v>
      </c>
      <c r="F1673" t="inlineStr">
        <is>
          <t>D1</t>
        </is>
      </c>
      <c r="G1673" t="inlineStr">
        <is>
          <t>5.88</t>
        </is>
      </c>
      <c r="H1673" t="n">
        <v>146.976</v>
      </c>
      <c r="I1673" t="inlineStr">
        <is>
          <t xml:space="preserve">C1 </t>
        </is>
      </c>
      <c r="J1673" t="n">
        <v>0</v>
      </c>
      <c r="K1673" t="inlineStr"/>
      <c r="L1673" t="n">
        <v>0.9838</v>
      </c>
      <c r="M1673" t="n">
        <v>0.9838</v>
      </c>
      <c r="N1673" t="inlineStr">
        <is>
          <t>Yes</t>
        </is>
      </c>
      <c r="O1673" t="inlineStr">
        <is>
          <t>equal</t>
        </is>
      </c>
      <c r="P1673" t="inlineStr">
        <is>
          <t>deposited</t>
        </is>
      </c>
      <c r="Q1673" t="inlineStr"/>
      <c r="R1673" t="inlineStr"/>
      <c r="S1673">
        <f>HYPERLINK("https://helical-indexing-hi3d.streamlit.app/?emd_id=emd-18853&amp;rise=5.88&amp;twist=146.976&amp;csym=1 &amp;rise2=5.88&amp;twist2=146.976&amp;csym2=1", "Link")</f>
        <v/>
      </c>
    </row>
    <row r="1674">
      <c r="A1674" t="inlineStr">
        <is>
          <t>EMD-18849</t>
        </is>
      </c>
      <c r="B1674" t="inlineStr">
        <is>
          <t>non-amyloid</t>
        </is>
      </c>
      <c r="C1674" t="n">
        <v>8.199999999999999</v>
      </c>
      <c r="D1674" t="n">
        <v>5.88</v>
      </c>
      <c r="E1674" t="n">
        <v>146.976</v>
      </c>
      <c r="F1674" t="inlineStr">
        <is>
          <t>D1</t>
        </is>
      </c>
      <c r="G1674" t="inlineStr">
        <is>
          <t>5.88</t>
        </is>
      </c>
      <c r="H1674" t="n">
        <v>146.976</v>
      </c>
      <c r="I1674" t="inlineStr">
        <is>
          <t xml:space="preserve">C1 </t>
        </is>
      </c>
      <c r="J1674" t="n">
        <v>0</v>
      </c>
      <c r="K1674" t="inlineStr"/>
      <c r="L1674" t="n">
        <v>0.9837900000000001</v>
      </c>
      <c r="M1674" t="n">
        <v>0.9837900000000001</v>
      </c>
      <c r="N1674" t="inlineStr">
        <is>
          <t>Yes</t>
        </is>
      </c>
      <c r="O1674" t="inlineStr">
        <is>
          <t>equal</t>
        </is>
      </c>
      <c r="P1674" t="inlineStr">
        <is>
          <t>deposited</t>
        </is>
      </c>
      <c r="Q1674" t="inlineStr"/>
      <c r="R1674" t="inlineStr"/>
      <c r="S1674">
        <f>HYPERLINK("https://helical-indexing-hi3d.streamlit.app/?emd_id=emd-18849&amp;rise=5.88&amp;twist=146.976&amp;csym=1 &amp;rise2=5.88&amp;twist2=146.976&amp;csym2=1", "Link")</f>
        <v/>
      </c>
    </row>
    <row r="1675">
      <c r="A1675" t="inlineStr">
        <is>
          <t>EMD-18850</t>
        </is>
      </c>
      <c r="B1675" t="inlineStr">
        <is>
          <t>non-amyloid</t>
        </is>
      </c>
      <c r="C1675" t="n">
        <v>8.699999999999999</v>
      </c>
      <c r="D1675" t="n">
        <v>5.88</v>
      </c>
      <c r="E1675" t="n">
        <v>146.976</v>
      </c>
      <c r="F1675" t="inlineStr">
        <is>
          <t>D1</t>
        </is>
      </c>
      <c r="G1675" t="inlineStr">
        <is>
          <t>5.88</t>
        </is>
      </c>
      <c r="H1675" t="n">
        <v>146.976</v>
      </c>
      <c r="I1675" t="inlineStr">
        <is>
          <t xml:space="preserve">C1 </t>
        </is>
      </c>
      <c r="J1675" t="n">
        <v>0</v>
      </c>
      <c r="K1675" t="inlineStr"/>
      <c r="L1675" t="n">
        <v>0.98513</v>
      </c>
      <c r="M1675" t="n">
        <v>0.98513</v>
      </c>
      <c r="N1675" t="inlineStr">
        <is>
          <t>Yes</t>
        </is>
      </c>
      <c r="O1675" t="inlineStr">
        <is>
          <t>equal</t>
        </is>
      </c>
      <c r="P1675" t="inlineStr">
        <is>
          <t>deposited</t>
        </is>
      </c>
      <c r="Q1675" t="inlineStr"/>
      <c r="R1675" t="inlineStr"/>
      <c r="S1675">
        <f>HYPERLINK("https://helical-indexing-hi3d.streamlit.app/?emd_id=emd-18850&amp;rise=5.88&amp;twist=146.976&amp;csym=1 &amp;rise2=5.88&amp;twist2=146.976&amp;csym2=1", "Link")</f>
        <v/>
      </c>
    </row>
    <row r="1676">
      <c r="A1676" t="inlineStr">
        <is>
          <t>EMD-18847</t>
        </is>
      </c>
      <c r="B1676" t="inlineStr">
        <is>
          <t>non-amyloid</t>
        </is>
      </c>
      <c r="C1676" t="n">
        <v>8.5</v>
      </c>
      <c r="D1676" t="n">
        <v>5.88</v>
      </c>
      <c r="E1676" t="n">
        <v>146.976</v>
      </c>
      <c r="F1676" t="inlineStr">
        <is>
          <t>D1</t>
        </is>
      </c>
      <c r="G1676" t="inlineStr">
        <is>
          <t>5.88</t>
        </is>
      </c>
      <c r="H1676" t="n">
        <v>146.976</v>
      </c>
      <c r="I1676" t="inlineStr">
        <is>
          <t xml:space="preserve">C1 </t>
        </is>
      </c>
      <c r="J1676" t="n">
        <v>0</v>
      </c>
      <c r="K1676" t="inlineStr"/>
      <c r="L1676" t="n">
        <v>0.98497</v>
      </c>
      <c r="M1676" t="n">
        <v>0.98497</v>
      </c>
      <c r="N1676" t="inlineStr">
        <is>
          <t>Yes</t>
        </is>
      </c>
      <c r="O1676" t="inlineStr">
        <is>
          <t>equal</t>
        </is>
      </c>
      <c r="P1676" t="inlineStr">
        <is>
          <t>deposited</t>
        </is>
      </c>
      <c r="Q1676" t="inlineStr"/>
      <c r="R1676" t="inlineStr"/>
      <c r="S1676">
        <f>HYPERLINK("https://helical-indexing-hi3d.streamlit.app/?emd_id=emd-18847&amp;rise=5.88&amp;twist=146.976&amp;csym=1 &amp;rise2=5.88&amp;twist2=146.976&amp;csym2=1", "Link")</f>
        <v/>
      </c>
    </row>
    <row r="1677">
      <c r="A1677" t="inlineStr">
        <is>
          <t>EMD-18870</t>
        </is>
      </c>
      <c r="B1677" t="inlineStr">
        <is>
          <t>non-amyloid</t>
        </is>
      </c>
      <c r="C1677" t="n">
        <v>9.1</v>
      </c>
      <c r="D1677" t="n">
        <v>5.88</v>
      </c>
      <c r="E1677" t="n">
        <v>146.976</v>
      </c>
      <c r="F1677" t="inlineStr">
        <is>
          <t>D1</t>
        </is>
      </c>
      <c r="G1677" t="inlineStr">
        <is>
          <t>5.88</t>
        </is>
      </c>
      <c r="H1677" t="n">
        <v>146.976</v>
      </c>
      <c r="I1677" t="inlineStr">
        <is>
          <t xml:space="preserve">C1 </t>
        </is>
      </c>
      <c r="J1677" t="n">
        <v>0</v>
      </c>
      <c r="K1677" t="inlineStr"/>
      <c r="L1677" t="n">
        <v>0.98487</v>
      </c>
      <c r="M1677" t="n">
        <v>0.98487</v>
      </c>
      <c r="N1677" t="inlineStr">
        <is>
          <t>Yes</t>
        </is>
      </c>
      <c r="O1677" t="inlineStr">
        <is>
          <t>equal</t>
        </is>
      </c>
      <c r="P1677" t="inlineStr">
        <is>
          <t>deposited</t>
        </is>
      </c>
      <c r="Q1677" t="inlineStr"/>
      <c r="R1677" t="inlineStr"/>
      <c r="S1677">
        <f>HYPERLINK("https://helical-indexing-hi3d.streamlit.app/?emd_id=emd-18870&amp;rise=5.88&amp;twist=146.976&amp;csym=1 &amp;rise2=5.88&amp;twist2=146.976&amp;csym2=1", "Link")</f>
        <v/>
      </c>
    </row>
    <row r="1678">
      <c r="A1678" t="inlineStr">
        <is>
          <t>EMD-18869</t>
        </is>
      </c>
      <c r="B1678" t="inlineStr">
        <is>
          <t>non-amyloid</t>
        </is>
      </c>
      <c r="C1678" t="n">
        <v>9</v>
      </c>
      <c r="D1678" t="n">
        <v>5.88</v>
      </c>
      <c r="E1678" t="n">
        <v>146.976</v>
      </c>
      <c r="F1678" t="inlineStr">
        <is>
          <t>D1</t>
        </is>
      </c>
      <c r="G1678" t="inlineStr">
        <is>
          <t>5.88</t>
        </is>
      </c>
      <c r="H1678" t="n">
        <v>146.976</v>
      </c>
      <c r="I1678" t="inlineStr">
        <is>
          <t xml:space="preserve">C1 </t>
        </is>
      </c>
      <c r="J1678" t="n">
        <v>0</v>
      </c>
      <c r="K1678" t="inlineStr"/>
      <c r="L1678" t="n">
        <v>0.98393</v>
      </c>
      <c r="M1678" t="n">
        <v>0.98393</v>
      </c>
      <c r="N1678" t="inlineStr">
        <is>
          <t>Yes</t>
        </is>
      </c>
      <c r="O1678" t="inlineStr">
        <is>
          <t>equal</t>
        </is>
      </c>
      <c r="P1678" t="inlineStr">
        <is>
          <t>deposited</t>
        </is>
      </c>
      <c r="Q1678" t="inlineStr"/>
      <c r="R1678" t="inlineStr"/>
      <c r="S1678">
        <f>HYPERLINK("https://helical-indexing-hi3d.streamlit.app/?emd_id=emd-18869&amp;rise=5.88&amp;twist=146.976&amp;csym=1 &amp;rise2=5.88&amp;twist2=146.976&amp;csym2=1", "Link")</f>
        <v/>
      </c>
    </row>
    <row r="1679">
      <c r="A1679" t="inlineStr">
        <is>
          <t>EMD-18867</t>
        </is>
      </c>
      <c r="B1679" t="inlineStr">
        <is>
          <t>non-amyloid</t>
        </is>
      </c>
      <c r="C1679" t="n">
        <v>8.199999999999999</v>
      </c>
      <c r="D1679" t="n">
        <v>5.88</v>
      </c>
      <c r="E1679" t="n">
        <v>146.976</v>
      </c>
      <c r="F1679" t="inlineStr">
        <is>
          <t>D1</t>
        </is>
      </c>
      <c r="G1679" t="inlineStr">
        <is>
          <t>5.88</t>
        </is>
      </c>
      <c r="H1679" t="n">
        <v>146.976</v>
      </c>
      <c r="I1679" t="inlineStr">
        <is>
          <t xml:space="preserve">C1 </t>
        </is>
      </c>
      <c r="J1679" t="n">
        <v>0</v>
      </c>
      <c r="K1679" t="inlineStr"/>
      <c r="L1679" t="n">
        <v>0.98561</v>
      </c>
      <c r="M1679" t="n">
        <v>0.98561</v>
      </c>
      <c r="N1679" t="inlineStr">
        <is>
          <t>Yes</t>
        </is>
      </c>
      <c r="O1679" t="inlineStr">
        <is>
          <t>equal</t>
        </is>
      </c>
      <c r="P1679" t="inlineStr">
        <is>
          <t>deposited</t>
        </is>
      </c>
      <c r="Q1679" t="inlineStr"/>
      <c r="R1679" t="inlineStr"/>
      <c r="S1679">
        <f>HYPERLINK("https://helical-indexing-hi3d.streamlit.app/?emd_id=emd-18867&amp;rise=5.88&amp;twist=146.976&amp;csym=1 &amp;rise2=5.88&amp;twist2=146.976&amp;csym2=1", "Link")</f>
        <v/>
      </c>
    </row>
    <row r="1680">
      <c r="A1680" t="inlineStr">
        <is>
          <t>EMD-42918</t>
        </is>
      </c>
      <c r="B1680" t="inlineStr">
        <is>
          <t>non-amyloid</t>
        </is>
      </c>
      <c r="C1680" t="n">
        <v>2.45</v>
      </c>
      <c r="D1680" t="n">
        <v>27.5</v>
      </c>
      <c r="E1680" t="n">
        <v>-166.6</v>
      </c>
      <c r="F1680" t="inlineStr">
        <is>
          <t>C1</t>
        </is>
      </c>
      <c r="G1680" t="inlineStr">
        <is>
          <t>27.49741789</t>
        </is>
      </c>
      <c r="H1680" t="n">
        <v>-166.6267931</v>
      </c>
      <c r="I1680" t="inlineStr">
        <is>
          <t xml:space="preserve">C1 </t>
        </is>
      </c>
      <c r="J1680" t="n">
        <v>0.007768456</v>
      </c>
      <c r="K1680" t="inlineStr"/>
      <c r="L1680" t="n">
        <v>0.91945</v>
      </c>
      <c r="M1680" t="n">
        <v>0.9197</v>
      </c>
      <c r="N1680" t="inlineStr">
        <is>
          <t>Yes</t>
        </is>
      </c>
      <c r="O1680" t="inlineStr">
        <is>
          <t>improve</t>
        </is>
      </c>
      <c r="P1680" t="inlineStr">
        <is>
          <t>adjusted decimals</t>
        </is>
      </c>
      <c r="Q1680" t="inlineStr"/>
      <c r="R1680" t="inlineStr"/>
      <c r="S1680">
        <f>HYPERLINK("https://helical-indexing-hi3d.streamlit.app/?emd_id=emd-42918&amp;rise=27.49741789&amp;twist=-166.6267931&amp;csym=1 &amp;rise2=27.5&amp;twist2=-166.6&amp;csym2=1", "Link")</f>
        <v/>
      </c>
    </row>
    <row r="1681">
      <c r="A1681" t="inlineStr">
        <is>
          <t>EMD-42779</t>
        </is>
      </c>
      <c r="B1681" t="inlineStr">
        <is>
          <t>non-amyloid</t>
        </is>
      </c>
      <c r="C1681" t="n">
        <v>3.01</v>
      </c>
      <c r="D1681" t="n">
        <v>18.2573</v>
      </c>
      <c r="E1681" t="n">
        <v>-72</v>
      </c>
      <c r="F1681" t="inlineStr">
        <is>
          <t>D1</t>
        </is>
      </c>
      <c r="G1681" t="inlineStr">
        <is>
          <t>18.07590979</t>
        </is>
      </c>
      <c r="H1681" t="n">
        <v>-71.98428722</v>
      </c>
      <c r="I1681" t="inlineStr">
        <is>
          <t xml:space="preserve">C1 </t>
        </is>
      </c>
      <c r="J1681" t="n">
        <v>0.1815905842115162</v>
      </c>
      <c r="K1681" t="inlineStr"/>
      <c r="L1681" t="n">
        <v>0.79486</v>
      </c>
      <c r="M1681" t="n">
        <v>0.82902</v>
      </c>
      <c r="N1681" t="inlineStr">
        <is>
          <t>Yes</t>
        </is>
      </c>
      <c r="O1681" t="inlineStr">
        <is>
          <t>improve</t>
        </is>
      </c>
      <c r="P1681" t="inlineStr">
        <is>
          <t>adjusted decimals</t>
        </is>
      </c>
      <c r="Q1681" t="inlineStr"/>
      <c r="R1681" t="inlineStr"/>
      <c r="S1681">
        <f>HYPERLINK("https://helical-indexing-hi3d.streamlit.app/?emd_id=emd-42779&amp;rise=18.07590979&amp;twist=-71.98428722&amp;csym=1 &amp;rise2=18.2573&amp;twist2=-72.0&amp;csym2=1", "Link")</f>
        <v/>
      </c>
    </row>
    <row r="1682">
      <c r="A1682" t="inlineStr">
        <is>
          <t>EMD-40902</t>
        </is>
      </c>
      <c r="B1682" t="inlineStr">
        <is>
          <t>non-amyloid</t>
        </is>
      </c>
      <c r="C1682" t="n">
        <v>2.84</v>
      </c>
      <c r="D1682" t="n">
        <v>14.675</v>
      </c>
      <c r="E1682" t="n">
        <v>26.146</v>
      </c>
      <c r="F1682" t="inlineStr">
        <is>
          <t>C1</t>
        </is>
      </c>
      <c r="G1682" t="inlineStr"/>
      <c r="H1682" t="inlineStr"/>
      <c r="I1682" t="inlineStr">
        <is>
          <t>Cnan</t>
        </is>
      </c>
      <c r="J1682" t="inlineStr"/>
      <c r="K1682" t="inlineStr"/>
      <c r="L1682" t="n">
        <v>0.73575</v>
      </c>
      <c r="M1682" t="n">
        <v>0.73575</v>
      </c>
      <c r="N1682" t="inlineStr">
        <is>
          <t>Excluded</t>
        </is>
      </c>
      <c r="O1682" t="inlineStr">
        <is>
          <t>equal</t>
        </is>
      </c>
      <c r="P1682" t="inlineStr">
        <is>
          <t>xy-shifted</t>
        </is>
      </c>
      <c r="Q1682" t="inlineStr"/>
      <c r="R1682" t="inlineStr"/>
      <c r="S1682">
        <f>HYPERLINK("https://helical-indexing-hi3d.streamlit.app/?emd_id=emd-40902&amp;rise=nan&amp;twist=nan&amp;csym=nan&amp;rise2=14.675&amp;twist2=26.146&amp;csym2=1", "Link")</f>
        <v/>
      </c>
    </row>
    <row r="1683">
      <c r="A1683" t="inlineStr">
        <is>
          <t>EMD-50025</t>
        </is>
      </c>
      <c r="B1683" t="inlineStr">
        <is>
          <t>non-amyloid</t>
        </is>
      </c>
      <c r="C1683" t="n">
        <v>3.17</v>
      </c>
      <c r="D1683" t="n">
        <v>10.17</v>
      </c>
      <c r="E1683" t="n">
        <v>87.39</v>
      </c>
      <c r="F1683" t="inlineStr">
        <is>
          <t>C1</t>
        </is>
      </c>
      <c r="G1683" t="inlineStr">
        <is>
          <t>10.15748602</t>
        </is>
      </c>
      <c r="H1683" t="n">
        <v>87.37712131000001</v>
      </c>
      <c r="I1683" t="inlineStr">
        <is>
          <t xml:space="preserve">C1 </t>
        </is>
      </c>
      <c r="J1683" t="n">
        <v>0.013022673</v>
      </c>
      <c r="K1683" t="inlineStr"/>
      <c r="L1683" t="n">
        <v>0.86336</v>
      </c>
      <c r="M1683" t="n">
        <v>0.86578</v>
      </c>
      <c r="N1683" t="inlineStr">
        <is>
          <t>Yes</t>
        </is>
      </c>
      <c r="O1683" t="inlineStr">
        <is>
          <t>improve</t>
        </is>
      </c>
      <c r="P1683" t="inlineStr">
        <is>
          <t>adjusted decimals</t>
        </is>
      </c>
      <c r="Q1683" t="inlineStr"/>
      <c r="R1683" t="inlineStr"/>
      <c r="S1683">
        <f>HYPERLINK("https://helical-indexing-hi3d.streamlit.app/?emd_id=emd-50025&amp;rise=10.15748602&amp;twist=87.37712131&amp;csym=1 &amp;rise2=10.17&amp;twist2=87.39&amp;csym2=1", "Link")</f>
        <v/>
      </c>
    </row>
    <row r="1684">
      <c r="A1684" t="inlineStr">
        <is>
          <t>EMD-40903</t>
        </is>
      </c>
      <c r="B1684" t="inlineStr">
        <is>
          <t>non-amyloid</t>
        </is>
      </c>
      <c r="C1684" t="n">
        <v>3.55</v>
      </c>
      <c r="D1684" t="n">
        <v>14.675</v>
      </c>
      <c r="E1684" t="n">
        <v>26.146</v>
      </c>
      <c r="F1684" t="inlineStr">
        <is>
          <t>C1</t>
        </is>
      </c>
      <c r="G1684" t="inlineStr">
        <is>
          <t>14.675</t>
        </is>
      </c>
      <c r="H1684" t="n">
        <v>26.146</v>
      </c>
      <c r="I1684" t="inlineStr">
        <is>
          <t xml:space="preserve">C1 </t>
        </is>
      </c>
      <c r="J1684" t="n">
        <v>0</v>
      </c>
      <c r="K1684" t="inlineStr"/>
      <c r="L1684" t="n">
        <v>0.87199</v>
      </c>
      <c r="M1684" t="n">
        <v>0.87199</v>
      </c>
      <c r="N1684" t="inlineStr">
        <is>
          <t>Yes</t>
        </is>
      </c>
      <c r="O1684" t="inlineStr">
        <is>
          <t>equal</t>
        </is>
      </c>
      <c r="P1684" t="inlineStr">
        <is>
          <t>deposited</t>
        </is>
      </c>
      <c r="Q1684" t="inlineStr"/>
      <c r="R1684" t="inlineStr"/>
      <c r="S1684">
        <f>HYPERLINK("https://helical-indexing-hi3d.streamlit.app/?emd_id=emd-40903&amp;rise=14.675&amp;twist=26.146&amp;csym=1 &amp;rise2=14.675&amp;twist2=26.146&amp;csym2=1", "Link")</f>
        <v/>
      </c>
    </row>
    <row r="1685">
      <c r="A1685" t="inlineStr">
        <is>
          <t>EMD-19608</t>
        </is>
      </c>
      <c r="B1685" t="inlineStr">
        <is>
          <t>non-amyloid</t>
        </is>
      </c>
      <c r="C1685" t="n">
        <v>2.65</v>
      </c>
      <c r="D1685" t="n">
        <v>31.65</v>
      </c>
      <c r="E1685" t="n">
        <v>-103.281</v>
      </c>
      <c r="F1685" t="inlineStr">
        <is>
          <t>C1</t>
        </is>
      </c>
      <c r="G1685" t="inlineStr">
        <is>
          <t>31.65</t>
        </is>
      </c>
      <c r="H1685" t="n">
        <v>-103.281</v>
      </c>
      <c r="I1685" t="inlineStr">
        <is>
          <t xml:space="preserve">C1 </t>
        </is>
      </c>
      <c r="J1685" t="n">
        <v>0</v>
      </c>
      <c r="K1685" t="inlineStr"/>
      <c r="L1685" t="n">
        <v>0.92336</v>
      </c>
      <c r="M1685" t="n">
        <v>0.92336</v>
      </c>
      <c r="N1685" t="inlineStr">
        <is>
          <t>Yes</t>
        </is>
      </c>
      <c r="O1685" t="inlineStr">
        <is>
          <t>equal</t>
        </is>
      </c>
      <c r="P1685" t="inlineStr">
        <is>
          <t>deposited</t>
        </is>
      </c>
      <c r="Q1685" t="inlineStr"/>
      <c r="R1685" t="inlineStr"/>
      <c r="S1685">
        <f>HYPERLINK("https://helical-indexing-hi3d.streamlit.app/?emd_id=emd-19608&amp;rise=31.65&amp;twist=-103.281&amp;csym=1 &amp;rise2=31.65&amp;twist2=-103.281&amp;csym2=1", "Link")</f>
        <v/>
      </c>
    </row>
    <row r="1686">
      <c r="A1686" t="inlineStr">
        <is>
          <t>EMD-42938</t>
        </is>
      </c>
      <c r="B1686" t="inlineStr">
        <is>
          <t>non-amyloid</t>
        </is>
      </c>
      <c r="C1686" t="n">
        <v>2.72</v>
      </c>
      <c r="D1686" t="n">
        <v>27.5</v>
      </c>
      <c r="E1686" t="n">
        <v>-166.6</v>
      </c>
      <c r="F1686" t="inlineStr">
        <is>
          <t>C1</t>
        </is>
      </c>
      <c r="G1686" t="inlineStr">
        <is>
          <t>27.59327019</t>
        </is>
      </c>
      <c r="H1686" t="n">
        <v>-166.5516007</v>
      </c>
      <c r="I1686" t="inlineStr">
        <is>
          <t xml:space="preserve">C1 </t>
        </is>
      </c>
      <c r="J1686" t="n">
        <v>0.094220073</v>
      </c>
      <c r="K1686" t="inlineStr"/>
      <c r="L1686" t="n">
        <v>0.92466</v>
      </c>
      <c r="M1686" t="n">
        <v>0.92688</v>
      </c>
      <c r="N1686" t="inlineStr">
        <is>
          <t>Yes</t>
        </is>
      </c>
      <c r="O1686" t="inlineStr">
        <is>
          <t>improve</t>
        </is>
      </c>
      <c r="P1686" t="inlineStr">
        <is>
          <t>adjusted decimals</t>
        </is>
      </c>
      <c r="Q1686" t="inlineStr"/>
      <c r="R1686" t="inlineStr"/>
      <c r="S1686">
        <f>HYPERLINK("https://helical-indexing-hi3d.streamlit.app/?emd_id=emd-42938&amp;rise=27.59327019&amp;twist=-166.5516007&amp;csym=1 &amp;rise2=27.5&amp;twist2=-166.6&amp;csym2=1", "Link")</f>
        <v/>
      </c>
    </row>
    <row r="1687">
      <c r="A1687" t="inlineStr">
        <is>
          <t>EMD-40861</t>
        </is>
      </c>
      <c r="B1687" t="inlineStr">
        <is>
          <t>non-amyloid</t>
        </is>
      </c>
      <c r="C1687" t="n">
        <v>3.26</v>
      </c>
      <c r="D1687" t="n">
        <v>14.675</v>
      </c>
      <c r="E1687" t="n">
        <v>26.146</v>
      </c>
      <c r="F1687" t="inlineStr">
        <is>
          <t>C1</t>
        </is>
      </c>
      <c r="G1687" t="inlineStr">
        <is>
          <t>14.675</t>
        </is>
      </c>
      <c r="H1687" t="n">
        <v>26.146</v>
      </c>
      <c r="I1687" t="inlineStr">
        <is>
          <t xml:space="preserve">C1 </t>
        </is>
      </c>
      <c r="J1687" t="n">
        <v>0</v>
      </c>
      <c r="K1687" t="inlineStr"/>
      <c r="L1687" t="n">
        <v>0.85041</v>
      </c>
      <c r="M1687" t="n">
        <v>0.85041</v>
      </c>
      <c r="N1687" t="inlineStr">
        <is>
          <t>Yes</t>
        </is>
      </c>
      <c r="O1687" t="inlineStr">
        <is>
          <t>equal</t>
        </is>
      </c>
      <c r="P1687" t="inlineStr">
        <is>
          <t>deposited</t>
        </is>
      </c>
      <c r="Q1687" t="inlineStr"/>
      <c r="R1687" t="inlineStr"/>
      <c r="S1687">
        <f>HYPERLINK("https://helical-indexing-hi3d.streamlit.app/?emd_id=emd-40861&amp;rise=14.675&amp;twist=26.146&amp;csym=1 &amp;rise2=14.675&amp;twist2=26.146&amp;csym2=1", "Link")</f>
        <v/>
      </c>
    </row>
    <row r="1688">
      <c r="A1688" t="inlineStr">
        <is>
          <t>EMD-40901</t>
        </is>
      </c>
      <c r="B1688" t="inlineStr">
        <is>
          <t>non-amyloid</t>
        </is>
      </c>
      <c r="C1688" t="n">
        <v>2.86</v>
      </c>
      <c r="D1688" t="n">
        <v>14.675</v>
      </c>
      <c r="E1688" t="n">
        <v>26.146</v>
      </c>
      <c r="F1688" t="inlineStr">
        <is>
          <t>C1</t>
        </is>
      </c>
      <c r="G1688" t="inlineStr"/>
      <c r="H1688" t="inlineStr"/>
      <c r="I1688" t="inlineStr">
        <is>
          <t>Cnan</t>
        </is>
      </c>
      <c r="J1688" t="inlineStr"/>
      <c r="K1688" t="inlineStr"/>
      <c r="L1688" t="n">
        <v>0.34209</v>
      </c>
      <c r="M1688" t="inlineStr"/>
      <c r="N1688" t="inlineStr">
        <is>
          <t>Excluded</t>
        </is>
      </c>
      <c r="O1688" t="inlineStr">
        <is>
          <t>worse</t>
        </is>
      </c>
      <c r="P1688" t="inlineStr">
        <is>
          <t>xy-shifted</t>
        </is>
      </c>
      <c r="Q1688" t="inlineStr"/>
      <c r="R1688" t="inlineStr"/>
      <c r="S1688">
        <f>HYPERLINK("https://helical-indexing-hi3d.streamlit.app/?emd_id=emd-40901&amp;rise=nan&amp;twist=nan&amp;csym=nan&amp;rise2=14.675&amp;twist2=26.146&amp;csym2=1", "Link")</f>
        <v/>
      </c>
    </row>
    <row r="1689">
      <c r="A1689" t="inlineStr">
        <is>
          <t>EMD-40942</t>
        </is>
      </c>
      <c r="B1689" t="inlineStr">
        <is>
          <t>non-amyloid</t>
        </is>
      </c>
      <c r="C1689" t="n">
        <v>3.58</v>
      </c>
      <c r="D1689" t="n">
        <v>14.673</v>
      </c>
      <c r="E1689" t="n">
        <v>26.155</v>
      </c>
      <c r="F1689" t="inlineStr">
        <is>
          <t>C1</t>
        </is>
      </c>
      <c r="G1689" t="inlineStr">
        <is>
          <t>14.673</t>
        </is>
      </c>
      <c r="H1689" t="n">
        <v>26.155</v>
      </c>
      <c r="I1689" t="inlineStr">
        <is>
          <t xml:space="preserve">C1 </t>
        </is>
      </c>
      <c r="J1689" t="n">
        <v>0</v>
      </c>
      <c r="K1689" t="inlineStr"/>
      <c r="L1689" t="n">
        <v>0.87426</v>
      </c>
      <c r="M1689" t="n">
        <v>0.87426</v>
      </c>
      <c r="N1689" t="inlineStr">
        <is>
          <t>Yes</t>
        </is>
      </c>
      <c r="O1689" t="inlineStr">
        <is>
          <t>equal</t>
        </is>
      </c>
      <c r="P1689" t="inlineStr">
        <is>
          <t>deposited</t>
        </is>
      </c>
      <c r="Q1689" t="inlineStr"/>
      <c r="R1689" t="inlineStr"/>
      <c r="S1689">
        <f>HYPERLINK("https://helical-indexing-hi3d.streamlit.app/?emd_id=emd-40942&amp;rise=14.673&amp;twist=26.155&amp;csym=1 &amp;rise2=14.673&amp;twist2=26.155&amp;csym2=1", "Link")</f>
        <v/>
      </c>
    </row>
    <row r="1690">
      <c r="A1690" t="inlineStr">
        <is>
          <t>EMD-40946</t>
        </is>
      </c>
      <c r="B1690" t="inlineStr">
        <is>
          <t>non-amyloid</t>
        </is>
      </c>
      <c r="C1690" t="n">
        <v>3.97</v>
      </c>
      <c r="D1690" t="n">
        <v>14.673</v>
      </c>
      <c r="E1690" t="n">
        <v>26.155</v>
      </c>
      <c r="F1690" t="inlineStr">
        <is>
          <t>C1</t>
        </is>
      </c>
      <c r="G1690" t="inlineStr">
        <is>
          <t>14.673</t>
        </is>
      </c>
      <c r="H1690" t="n">
        <v>26.155</v>
      </c>
      <c r="I1690" t="inlineStr">
        <is>
          <t xml:space="preserve">C1 </t>
        </is>
      </c>
      <c r="J1690" t="n">
        <v>0</v>
      </c>
      <c r="K1690" t="inlineStr"/>
      <c r="L1690" t="n">
        <v>0.91584</v>
      </c>
      <c r="M1690" t="n">
        <v>0.91584</v>
      </c>
      <c r="N1690" t="inlineStr">
        <is>
          <t>Yes</t>
        </is>
      </c>
      <c r="O1690" t="inlineStr">
        <is>
          <t>equal</t>
        </is>
      </c>
      <c r="P1690" t="inlineStr">
        <is>
          <t>deposited</t>
        </is>
      </c>
      <c r="Q1690" t="inlineStr"/>
      <c r="R1690" t="inlineStr"/>
      <c r="S1690">
        <f>HYPERLINK("https://helical-indexing-hi3d.streamlit.app/?emd_id=emd-40946&amp;rise=14.673&amp;twist=26.155&amp;csym=1 &amp;rise2=14.673&amp;twist2=26.155&amp;csym2=1", "Link")</f>
        <v/>
      </c>
    </row>
    <row r="1691">
      <c r="A1691" t="inlineStr">
        <is>
          <t>EMD-42939</t>
        </is>
      </c>
      <c r="B1691" t="inlineStr">
        <is>
          <t>non-amyloid</t>
        </is>
      </c>
      <c r="C1691" t="n">
        <v>2.54</v>
      </c>
      <c r="D1691" t="n">
        <v>27.5</v>
      </c>
      <c r="E1691" t="n">
        <v>-166.6</v>
      </c>
      <c r="F1691" t="inlineStr">
        <is>
          <t>C1</t>
        </is>
      </c>
      <c r="G1691" t="inlineStr">
        <is>
          <t>27.90000214</t>
        </is>
      </c>
      <c r="H1691" t="n">
        <v>-167.035819</v>
      </c>
      <c r="I1691" t="inlineStr">
        <is>
          <t xml:space="preserve">C1 </t>
        </is>
      </c>
      <c r="J1691" t="n">
        <v>0.4135475930743223</v>
      </c>
      <c r="K1691" t="inlineStr"/>
      <c r="L1691" t="n">
        <v>0.82877</v>
      </c>
      <c r="M1691" t="n">
        <v>0.92633</v>
      </c>
      <c r="N1691" t="inlineStr">
        <is>
          <t>Yes</t>
        </is>
      </c>
      <c r="O1691" t="inlineStr">
        <is>
          <t>improve</t>
        </is>
      </c>
      <c r="P1691" t="inlineStr">
        <is>
          <t>adjusted decimals</t>
        </is>
      </c>
      <c r="Q1691" t="inlineStr"/>
      <c r="R1691" t="inlineStr"/>
      <c r="S1691">
        <f>HYPERLINK("https://helical-indexing-hi3d.streamlit.app/?emd_id=emd-42939&amp;rise=27.90000214&amp;twist=-167.035819&amp;csym=1 &amp;rise2=27.5&amp;twist2=-166.6&amp;csym2=1", "Link")</f>
        <v/>
      </c>
    </row>
    <row r="1692">
      <c r="A1692" t="inlineStr">
        <is>
          <t>EMD-19885</t>
        </is>
      </c>
      <c r="B1692" t="inlineStr">
        <is>
          <t>non-amyloid</t>
        </is>
      </c>
      <c r="C1692" t="n">
        <v>6.4</v>
      </c>
      <c r="D1692" t="n">
        <v>1.38</v>
      </c>
      <c r="E1692" t="n">
        <v>22.036</v>
      </c>
      <c r="F1692" t="inlineStr">
        <is>
          <t>C1</t>
        </is>
      </c>
      <c r="G1692" t="inlineStr">
        <is>
          <t>1.354255067</t>
        </is>
      </c>
      <c r="H1692" t="n">
        <v>22.03414456</v>
      </c>
      <c r="I1692" t="inlineStr">
        <is>
          <t xml:space="preserve">C1 </t>
        </is>
      </c>
      <c r="J1692" t="n">
        <v>0.0257591115876233</v>
      </c>
      <c r="K1692" t="inlineStr"/>
      <c r="L1692" t="n">
        <v>0.84705</v>
      </c>
      <c r="M1692" t="n">
        <v>0.87742</v>
      </c>
      <c r="N1692" t="inlineStr">
        <is>
          <t>Yes</t>
        </is>
      </c>
      <c r="O1692" t="inlineStr">
        <is>
          <t>improve</t>
        </is>
      </c>
      <c r="P1692" t="inlineStr">
        <is>
          <t>adjusted decimals</t>
        </is>
      </c>
      <c r="Q1692" t="inlineStr"/>
      <c r="R1692" t="inlineStr"/>
      <c r="S1692">
        <f>HYPERLINK("https://helical-indexing-hi3d.streamlit.app/?emd_id=emd-19885&amp;rise=1.354255067&amp;twist=22.03414456&amp;csym=1 &amp;rise2=1.38&amp;twist2=22.036&amp;csym2=1", "Link")</f>
        <v/>
      </c>
    </row>
    <row r="1693">
      <c r="A1693" t="inlineStr">
        <is>
          <t>EMD-19737</t>
        </is>
      </c>
      <c r="B1693" t="inlineStr">
        <is>
          <t>non-amyloid</t>
        </is>
      </c>
      <c r="C1693" t="n">
        <v>3.9</v>
      </c>
      <c r="D1693" t="n">
        <v>51</v>
      </c>
      <c r="E1693" t="n">
        <v>-108</v>
      </c>
      <c r="F1693" t="inlineStr">
        <is>
          <t>D1</t>
        </is>
      </c>
      <c r="G1693" t="inlineStr">
        <is>
          <t>51.38294123</t>
        </is>
      </c>
      <c r="H1693" t="n">
        <v>-108.8774937</v>
      </c>
      <c r="I1693" t="inlineStr">
        <is>
          <t xml:space="preserve">C1 </t>
        </is>
      </c>
      <c r="J1693" t="n">
        <v>0.6211387115316105</v>
      </c>
      <c r="K1693" t="inlineStr"/>
      <c r="L1693" t="n">
        <v>0.70894</v>
      </c>
      <c r="M1693" t="n">
        <v>0.96811</v>
      </c>
      <c r="N1693" t="inlineStr">
        <is>
          <t>Yes</t>
        </is>
      </c>
      <c r="O1693" t="inlineStr">
        <is>
          <t>improve</t>
        </is>
      </c>
      <c r="P1693" t="inlineStr">
        <is>
          <t>adjusted decimals</t>
        </is>
      </c>
      <c r="Q1693" t="inlineStr"/>
      <c r="R1693" t="inlineStr"/>
      <c r="S1693">
        <f>HYPERLINK("https://helical-indexing-hi3d.streamlit.app/?emd_id=emd-19737&amp;rise=51.38294123&amp;twist=-108.8774937&amp;csym=1 &amp;rise2=51.0&amp;twist2=-108.0&amp;csym2=1", "Link")</f>
        <v/>
      </c>
    </row>
    <row r="1694">
      <c r="A1694" t="inlineStr">
        <is>
          <t>EMD-17131</t>
        </is>
      </c>
      <c r="B1694" t="inlineStr">
        <is>
          <t>non-amyloid</t>
        </is>
      </c>
      <c r="C1694" t="n">
        <v>4.3</v>
      </c>
      <c r="D1694" t="n">
        <v>7.949</v>
      </c>
      <c r="E1694" t="n">
        <v>138.921</v>
      </c>
      <c r="F1694" t="inlineStr">
        <is>
          <t>C1</t>
        </is>
      </c>
      <c r="G1694" t="inlineStr">
        <is>
          <t>7.949</t>
        </is>
      </c>
      <c r="H1694" t="n">
        <v>138.921</v>
      </c>
      <c r="I1694" t="inlineStr">
        <is>
          <t xml:space="preserve">C1 </t>
        </is>
      </c>
      <c r="J1694" t="n">
        <v>0</v>
      </c>
      <c r="K1694" t="inlineStr"/>
      <c r="L1694" t="n">
        <v>0.9517099999999999</v>
      </c>
      <c r="M1694" t="n">
        <v>0.9517099999999999</v>
      </c>
      <c r="N1694" t="inlineStr">
        <is>
          <t>Yes</t>
        </is>
      </c>
      <c r="O1694" t="inlineStr">
        <is>
          <t>equal</t>
        </is>
      </c>
      <c r="P1694" t="inlineStr">
        <is>
          <t>deposited</t>
        </is>
      </c>
      <c r="Q1694" t="inlineStr"/>
      <c r="R1694" t="inlineStr"/>
      <c r="S1694">
        <f>HYPERLINK("https://helical-indexing-hi3d.streamlit.app/?emd_id=emd-17131&amp;rise=7.949&amp;twist=138.921&amp;csym=1 &amp;rise2=7.949&amp;twist2=138.921&amp;csym2=1", "Link")</f>
        <v/>
      </c>
    </row>
    <row r="1695">
      <c r="A1695" t="inlineStr">
        <is>
          <t>EMD-19735</t>
        </is>
      </c>
      <c r="B1695" t="inlineStr">
        <is>
          <t>non-amyloid</t>
        </is>
      </c>
      <c r="C1695" t="n">
        <v>3.7</v>
      </c>
      <c r="D1695" t="n">
        <v>51.2</v>
      </c>
      <c r="E1695" t="n">
        <v>-108.4</v>
      </c>
      <c r="F1695" t="inlineStr">
        <is>
          <t>D1</t>
        </is>
      </c>
      <c r="G1695" t="inlineStr">
        <is>
          <t>51.18135735</t>
        </is>
      </c>
      <c r="H1695" t="n">
        <v>-108.3457577</v>
      </c>
      <c r="I1695" t="inlineStr">
        <is>
          <t xml:space="preserve">C1 </t>
        </is>
      </c>
      <c r="J1695" t="n">
        <v>0.031948355</v>
      </c>
      <c r="K1695" t="inlineStr"/>
      <c r="L1695" t="n">
        <v>0.86099</v>
      </c>
      <c r="M1695" t="n">
        <v>0.86108</v>
      </c>
      <c r="N1695" t="inlineStr">
        <is>
          <t>Yes</t>
        </is>
      </c>
      <c r="O1695" t="inlineStr">
        <is>
          <t>improve</t>
        </is>
      </c>
      <c r="P1695" t="inlineStr">
        <is>
          <t>adjusted decimals</t>
        </is>
      </c>
      <c r="Q1695" t="inlineStr"/>
      <c r="R1695" t="inlineStr"/>
      <c r="S1695">
        <f>HYPERLINK("https://helical-indexing-hi3d.streamlit.app/?emd_id=emd-19735&amp;rise=51.18135735&amp;twist=-108.3457577&amp;csym=1 &amp;rise2=51.2&amp;twist2=-108.4&amp;csym2=1", "Link")</f>
        <v/>
      </c>
    </row>
    <row r="1696">
      <c r="A1696" t="inlineStr">
        <is>
          <t>EMD-17125</t>
        </is>
      </c>
      <c r="B1696" t="inlineStr">
        <is>
          <t>non-amyloid</t>
        </is>
      </c>
      <c r="C1696" t="n">
        <v>4.2</v>
      </c>
      <c r="D1696" t="n">
        <v>20.497</v>
      </c>
      <c r="E1696" t="n">
        <v>49.426</v>
      </c>
      <c r="F1696" t="inlineStr">
        <is>
          <t>C3</t>
        </is>
      </c>
      <c r="G1696" t="inlineStr">
        <is>
          <t>20.497</t>
        </is>
      </c>
      <c r="H1696" t="n">
        <v>49.426</v>
      </c>
      <c r="I1696" t="inlineStr">
        <is>
          <t>Cc3</t>
        </is>
      </c>
      <c r="J1696" t="n">
        <v>0</v>
      </c>
      <c r="K1696" t="inlineStr"/>
      <c r="L1696" t="n">
        <v>0.94472</v>
      </c>
      <c r="M1696" t="n">
        <v>0.94472</v>
      </c>
      <c r="N1696" t="inlineStr">
        <is>
          <t>Yes</t>
        </is>
      </c>
      <c r="O1696" t="inlineStr">
        <is>
          <t>equal</t>
        </is>
      </c>
      <c r="P1696" t="inlineStr">
        <is>
          <t>deposited</t>
        </is>
      </c>
      <c r="Q1696" t="inlineStr"/>
      <c r="R1696" t="inlineStr"/>
      <c r="S1696">
        <f>HYPERLINK("https://helical-indexing-hi3d.streamlit.app/?emd_id=emd-17125&amp;rise=20.497&amp;twist=49.426&amp;csym=c3&amp;rise2=20.497&amp;twist2=49.426&amp;csym2=3", "Link")</f>
        <v/>
      </c>
    </row>
    <row r="1697">
      <c r="A1697" t="inlineStr">
        <is>
          <t>EMD-19740</t>
        </is>
      </c>
      <c r="B1697" t="inlineStr">
        <is>
          <t>non-amyloid</t>
        </is>
      </c>
      <c r="C1697" t="n">
        <v>4</v>
      </c>
      <c r="D1697" t="n">
        <v>46.7</v>
      </c>
      <c r="E1697" t="n">
        <v>-178.6</v>
      </c>
      <c r="F1697" t="inlineStr">
        <is>
          <t>D2</t>
        </is>
      </c>
      <c r="G1697" t="inlineStr">
        <is>
          <t>46.62447156</t>
        </is>
      </c>
      <c r="H1697" t="n">
        <v>-178.619537</v>
      </c>
      <c r="I1697" t="inlineStr">
        <is>
          <t>C2</t>
        </is>
      </c>
      <c r="J1697" t="n">
        <v>0.075745938</v>
      </c>
      <c r="K1697" t="inlineStr"/>
      <c r="L1697" t="n">
        <v>0.8179999999999999</v>
      </c>
      <c r="M1697" t="n">
        <v>0.81807</v>
      </c>
      <c r="N1697" t="inlineStr">
        <is>
          <t>Yes</t>
        </is>
      </c>
      <c r="O1697" t="inlineStr">
        <is>
          <t>improve</t>
        </is>
      </c>
      <c r="P1697" t="inlineStr">
        <is>
          <t>adjusted decimals</t>
        </is>
      </c>
      <c r="Q1697" t="inlineStr"/>
      <c r="R1697" t="inlineStr"/>
      <c r="S1697">
        <f>HYPERLINK("https://helical-indexing-hi3d.streamlit.app/?emd_id=emd-19740&amp;rise=46.62447156&amp;twist=-178.619537&amp;csym=2&amp;rise2=46.7&amp;twist2=-178.6&amp;csym2=2", "Link")</f>
        <v/>
      </c>
    </row>
    <row r="1698">
      <c r="A1698" t="inlineStr">
        <is>
          <t>EMD-19741</t>
        </is>
      </c>
      <c r="B1698" t="inlineStr">
        <is>
          <t>non-amyloid</t>
        </is>
      </c>
      <c r="C1698" t="n">
        <v>4.1</v>
      </c>
      <c r="D1698" t="n">
        <v>47.2</v>
      </c>
      <c r="E1698" t="n">
        <v>-177.7</v>
      </c>
      <c r="F1698" t="inlineStr">
        <is>
          <t>D2</t>
        </is>
      </c>
      <c r="G1698" t="inlineStr">
        <is>
          <t>47.2</t>
        </is>
      </c>
      <c r="H1698" t="n">
        <v>-177.7</v>
      </c>
      <c r="I1698" t="inlineStr">
        <is>
          <t>C2</t>
        </is>
      </c>
      <c r="J1698" t="n">
        <v>0</v>
      </c>
      <c r="K1698" t="inlineStr"/>
      <c r="L1698" t="n">
        <v>0.76815</v>
      </c>
      <c r="M1698" t="n">
        <v>0.76815</v>
      </c>
      <c r="N1698" t="inlineStr">
        <is>
          <t>Yes</t>
        </is>
      </c>
      <c r="O1698" t="inlineStr">
        <is>
          <t>equal</t>
        </is>
      </c>
      <c r="P1698" t="inlineStr">
        <is>
          <t>deposited</t>
        </is>
      </c>
      <c r="Q1698" t="inlineStr"/>
      <c r="R1698" t="inlineStr"/>
      <c r="S1698">
        <f>HYPERLINK("https://helical-indexing-hi3d.streamlit.app/?emd_id=emd-19741&amp;rise=47.2&amp;twist=-177.7&amp;csym=2&amp;rise2=47.2&amp;twist2=-177.7&amp;csym2=2", "Link")</f>
        <v/>
      </c>
    </row>
    <row r="1699">
      <c r="A1699" t="inlineStr">
        <is>
          <t>EMD-42088</t>
        </is>
      </c>
      <c r="B1699" t="inlineStr">
        <is>
          <t>non-amyloid</t>
        </is>
      </c>
      <c r="C1699" t="n">
        <v>3.5</v>
      </c>
      <c r="D1699" t="n">
        <v>8.4</v>
      </c>
      <c r="E1699" t="n">
        <v>-148.9</v>
      </c>
      <c r="F1699" t="inlineStr">
        <is>
          <t>C1</t>
        </is>
      </c>
      <c r="G1699" t="inlineStr">
        <is>
          <t>8.39</t>
        </is>
      </c>
      <c r="H1699" t="n">
        <v>-148.91</v>
      </c>
      <c r="I1699" t="inlineStr">
        <is>
          <t>C1</t>
        </is>
      </c>
      <c r="J1699" t="n">
        <v>0.010147985933243</v>
      </c>
      <c r="K1699" t="inlineStr">
        <is>
          <t>z -&gt; x</t>
        </is>
      </c>
      <c r="L1699" t="n">
        <v>0.77164</v>
      </c>
      <c r="M1699" t="n">
        <v>0.77321</v>
      </c>
      <c r="N1699" t="inlineStr">
        <is>
          <t>Yes</t>
        </is>
      </c>
      <c r="O1699" t="inlineStr">
        <is>
          <t>improve</t>
        </is>
      </c>
      <c r="P1699" t="inlineStr">
        <is>
          <t>adjusted decimals</t>
        </is>
      </c>
      <c r="Q1699" t="inlineStr"/>
      <c r="R1699" t="inlineStr"/>
      <c r="S1699">
        <f>HYPERLINK("https://helical-indexing-hi3d.streamlit.app/?emd_id=emd-42088&amp;rise=8.39&amp;twist=-148.91&amp;csym=1&amp;rise2=8.4&amp;twist2=-148.9&amp;csym2=1", "Link")</f>
        <v/>
      </c>
    </row>
    <row r="1700">
      <c r="A1700" t="inlineStr">
        <is>
          <t>EMD-17878</t>
        </is>
      </c>
      <c r="B1700" t="inlineStr">
        <is>
          <t>non-amyloid</t>
        </is>
      </c>
      <c r="C1700" t="n">
        <v>2.52</v>
      </c>
      <c r="D1700" t="n">
        <v>7.8</v>
      </c>
      <c r="E1700" t="n">
        <v>115</v>
      </c>
      <c r="F1700" t="inlineStr">
        <is>
          <t>C1</t>
        </is>
      </c>
      <c r="G1700" t="inlineStr">
        <is>
          <t>7.757360006</t>
        </is>
      </c>
      <c r="H1700" t="n">
        <v>114.9644189</v>
      </c>
      <c r="I1700" t="inlineStr">
        <is>
          <t>C1</t>
        </is>
      </c>
      <c r="J1700" t="n">
        <v>0.0433909818249057</v>
      </c>
      <c r="K1700" t="inlineStr"/>
      <c r="L1700" t="n">
        <v>0.82853</v>
      </c>
      <c r="M1700" t="n">
        <v>0.83565</v>
      </c>
      <c r="N1700" t="inlineStr">
        <is>
          <t>Yes</t>
        </is>
      </c>
      <c r="O1700" t="inlineStr">
        <is>
          <t>improve</t>
        </is>
      </c>
      <c r="P1700" t="inlineStr">
        <is>
          <t>adjusted decimals</t>
        </is>
      </c>
      <c r="Q1700" t="inlineStr"/>
      <c r="R1700" t="inlineStr"/>
      <c r="S1700">
        <f>HYPERLINK("https://helical-indexing-hi3d.streamlit.app/?emd_id=emd-17878&amp;rise=7.757360006&amp;twist=114.9644189&amp;csym=1&amp;rise2=7.8&amp;twist2=115.0&amp;csym2=1", "Link")</f>
        <v/>
      </c>
    </row>
    <row r="1701">
      <c r="A1701" t="inlineStr">
        <is>
          <t>EMD-42070</t>
        </is>
      </c>
      <c r="B1701" t="inlineStr">
        <is>
          <t>non-amyloid</t>
        </is>
      </c>
      <c r="C1701" t="n">
        <v>3.6</v>
      </c>
      <c r="D1701" t="n">
        <v>16.7</v>
      </c>
      <c r="E1701" t="n">
        <v>59.3</v>
      </c>
      <c r="F1701" t="inlineStr">
        <is>
          <t>D1</t>
        </is>
      </c>
      <c r="G1701" t="inlineStr">
        <is>
          <t>16.69</t>
        </is>
      </c>
      <c r="H1701" t="n">
        <v>59.34</v>
      </c>
      <c r="I1701" t="inlineStr">
        <is>
          <t>C1</t>
        </is>
      </c>
      <c r="J1701" t="n">
        <v>0.012784323</v>
      </c>
      <c r="K1701" t="inlineStr">
        <is>
          <t>z -&gt; x</t>
        </is>
      </c>
      <c r="L1701" t="n">
        <v>0.81091</v>
      </c>
      <c r="M1701" t="n">
        <v>0.81237</v>
      </c>
      <c r="N1701" t="inlineStr">
        <is>
          <t>Yes</t>
        </is>
      </c>
      <c r="O1701" t="inlineStr">
        <is>
          <t>improve</t>
        </is>
      </c>
      <c r="P1701" t="inlineStr">
        <is>
          <t>adjusted decimals</t>
        </is>
      </c>
      <c r="Q1701" t="inlineStr"/>
      <c r="R1701" t="inlineStr"/>
      <c r="S1701">
        <f>HYPERLINK("https://helical-indexing-hi3d.streamlit.app/?emd_id=emd-42070&amp;rise=16.69&amp;twist=59.34&amp;csym=1&amp;rise2=16.7&amp;twist2=59.3&amp;csym2=1", "Link")</f>
        <v/>
      </c>
    </row>
    <row r="1702">
      <c r="A1702" t="inlineStr">
        <is>
          <t>EMD-17863</t>
        </is>
      </c>
      <c r="B1702" t="inlineStr">
        <is>
          <t>non-amyloid</t>
        </is>
      </c>
      <c r="C1702" t="n">
        <v>2.7</v>
      </c>
      <c r="D1702" t="n">
        <v>7.76</v>
      </c>
      <c r="E1702" t="n">
        <v>115</v>
      </c>
      <c r="F1702" t="inlineStr">
        <is>
          <t>C1</t>
        </is>
      </c>
      <c r="G1702" t="inlineStr">
        <is>
          <t>7.743983336</t>
        </is>
      </c>
      <c r="H1702" t="n">
        <v>114.94943</v>
      </c>
      <c r="I1702" t="inlineStr">
        <is>
          <t>C1</t>
        </is>
      </c>
      <c r="J1702" t="n">
        <v>0.019806356</v>
      </c>
      <c r="K1702" t="inlineStr"/>
      <c r="L1702" t="n">
        <v>0.83484</v>
      </c>
      <c r="M1702" t="n">
        <v>0.83531</v>
      </c>
      <c r="N1702" t="inlineStr">
        <is>
          <t>Yes</t>
        </is>
      </c>
      <c r="O1702" t="inlineStr">
        <is>
          <t>improve</t>
        </is>
      </c>
      <c r="P1702" t="inlineStr">
        <is>
          <t>adjusted decimals</t>
        </is>
      </c>
      <c r="Q1702" t="inlineStr"/>
      <c r="R1702" t="inlineStr"/>
      <c r="S1702">
        <f>HYPERLINK("https://helical-indexing-hi3d.streamlit.app/?emd_id=emd-17863&amp;rise=7.743983336&amp;twist=114.94943&amp;csym=1&amp;rise2=7.76&amp;twist2=115.0&amp;csym2=1", "Link")</f>
        <v/>
      </c>
    </row>
    <row r="1703">
      <c r="A1703" t="inlineStr">
        <is>
          <t>EMD-42075</t>
        </is>
      </c>
      <c r="B1703" t="inlineStr">
        <is>
          <t>non-amyloid</t>
        </is>
      </c>
      <c r="C1703" t="n">
        <v>3.3</v>
      </c>
      <c r="D1703" t="n">
        <v>24</v>
      </c>
      <c r="E1703" t="n">
        <v>-43.1</v>
      </c>
      <c r="F1703" t="inlineStr">
        <is>
          <t>D2</t>
        </is>
      </c>
      <c r="G1703" t="inlineStr">
        <is>
          <t>24</t>
        </is>
      </c>
      <c r="H1703" t="n">
        <v>-43.11</v>
      </c>
      <c r="I1703" t="inlineStr">
        <is>
          <t>C2</t>
        </is>
      </c>
      <c r="J1703" t="n">
        <v>0.003922447</v>
      </c>
      <c r="K1703" t="inlineStr">
        <is>
          <t>z -&gt; x</t>
        </is>
      </c>
      <c r="L1703" t="n">
        <v>0.80876</v>
      </c>
      <c r="M1703" t="n">
        <v>0.80905</v>
      </c>
      <c r="N1703" t="inlineStr">
        <is>
          <t>Yes</t>
        </is>
      </c>
      <c r="O1703" t="inlineStr">
        <is>
          <t>improve</t>
        </is>
      </c>
      <c r="P1703" t="inlineStr">
        <is>
          <t>adjusted decimals</t>
        </is>
      </c>
      <c r="Q1703" t="inlineStr"/>
      <c r="R1703" t="inlineStr"/>
      <c r="S1703">
        <f>HYPERLINK("https://helical-indexing-hi3d.streamlit.app/?emd_id=emd-42075&amp;rise=24&amp;twist=-43.11&amp;csym=2&amp;rise2=24.0&amp;twist2=-43.1&amp;csym2=2", "Link")</f>
        <v/>
      </c>
    </row>
    <row r="1704">
      <c r="A1704" t="inlineStr">
        <is>
          <t>EMD-19563</t>
        </is>
      </c>
      <c r="B1704" t="inlineStr">
        <is>
          <t>non-amyloid</t>
        </is>
      </c>
      <c r="C1704" t="n">
        <v>14</v>
      </c>
      <c r="D1704" t="n">
        <v>42.5</v>
      </c>
      <c r="E1704" t="n">
        <v>73.7</v>
      </c>
      <c r="F1704" t="inlineStr">
        <is>
          <t>C1</t>
        </is>
      </c>
      <c r="G1704" t="inlineStr">
        <is>
          <t>42.5</t>
        </is>
      </c>
      <c r="H1704" t="n">
        <v>73.7</v>
      </c>
      <c r="I1704" t="inlineStr">
        <is>
          <t>C1</t>
        </is>
      </c>
      <c r="J1704" t="n">
        <v>0</v>
      </c>
      <c r="K1704" t="inlineStr"/>
      <c r="L1704" t="n">
        <v>0.9655899999999999</v>
      </c>
      <c r="M1704" t="n">
        <v>0.9655899999999999</v>
      </c>
      <c r="N1704" t="inlineStr">
        <is>
          <t>Yes</t>
        </is>
      </c>
      <c r="O1704" t="inlineStr">
        <is>
          <t>equal</t>
        </is>
      </c>
      <c r="P1704" t="inlineStr">
        <is>
          <t>deposited</t>
        </is>
      </c>
      <c r="Q1704" t="inlineStr"/>
      <c r="R1704" t="inlineStr"/>
      <c r="S1704">
        <f>HYPERLINK("https://helical-indexing-hi3d.streamlit.app/?emd_id=emd-19563&amp;rise=42.5&amp;twist=73.7&amp;csym=1&amp;rise2=42.5&amp;twist2=73.7&amp;csym2=1", "Link")</f>
        <v/>
      </c>
    </row>
    <row r="1705">
      <c r="A1705" t="inlineStr">
        <is>
          <t>EMD-17718</t>
        </is>
      </c>
      <c r="B1705" t="inlineStr">
        <is>
          <t>non-amyloid</t>
        </is>
      </c>
      <c r="C1705" t="n">
        <v>2.92</v>
      </c>
      <c r="D1705" t="n">
        <v>10.449</v>
      </c>
      <c r="E1705" t="n">
        <v>100.7</v>
      </c>
      <c r="F1705" t="inlineStr">
        <is>
          <t>C1</t>
        </is>
      </c>
      <c r="G1705" t="inlineStr">
        <is>
          <t>10.41841326</t>
        </is>
      </c>
      <c r="H1705" t="n">
        <v>100.6672537</v>
      </c>
      <c r="I1705" t="inlineStr">
        <is>
          <t>C1</t>
        </is>
      </c>
      <c r="J1705" t="n">
        <v>0.0331004952069072</v>
      </c>
      <c r="K1705" t="inlineStr"/>
      <c r="L1705" t="n">
        <v>0.91227</v>
      </c>
      <c r="M1705" t="n">
        <v>0.91598</v>
      </c>
      <c r="N1705" t="inlineStr">
        <is>
          <t>Yes</t>
        </is>
      </c>
      <c r="O1705" t="inlineStr">
        <is>
          <t>improve</t>
        </is>
      </c>
      <c r="P1705" t="inlineStr">
        <is>
          <t>adjusted decimals</t>
        </is>
      </c>
      <c r="Q1705" t="inlineStr"/>
      <c r="R1705" t="inlineStr"/>
      <c r="S1705">
        <f>HYPERLINK("https://helical-indexing-hi3d.streamlit.app/?emd_id=emd-17718&amp;rise=10.41841326&amp;twist=100.6672537&amp;csym=1&amp;rise2=10.449&amp;twist2=100.7&amp;csym2=1", "Link")</f>
        <v/>
      </c>
    </row>
    <row r="1706">
      <c r="A1706" t="inlineStr">
        <is>
          <t>EMD-17386</t>
        </is>
      </c>
      <c r="B1706" t="inlineStr">
        <is>
          <t>non-amyloid</t>
        </is>
      </c>
      <c r="C1706" t="n">
        <v>3.15</v>
      </c>
      <c r="D1706" t="n">
        <v>10.446</v>
      </c>
      <c r="E1706" t="n">
        <v>100.612</v>
      </c>
      <c r="F1706" t="inlineStr">
        <is>
          <t>C1</t>
        </is>
      </c>
      <c r="G1706" t="inlineStr">
        <is>
          <t>10.43825116</t>
        </is>
      </c>
      <c r="H1706" t="n">
        <v>100.6169809</v>
      </c>
      <c r="I1706" t="inlineStr">
        <is>
          <t>C1</t>
        </is>
      </c>
      <c r="J1706" t="n">
        <v>0.007874557000000001</v>
      </c>
      <c r="K1706" t="inlineStr"/>
      <c r="L1706" t="n">
        <v>0.92802</v>
      </c>
      <c r="M1706" t="n">
        <v>0.92827</v>
      </c>
      <c r="N1706" t="inlineStr">
        <is>
          <t>Yes</t>
        </is>
      </c>
      <c r="O1706" t="inlineStr">
        <is>
          <t>improve</t>
        </is>
      </c>
      <c r="P1706" t="inlineStr">
        <is>
          <t>adjusted decimals</t>
        </is>
      </c>
      <c r="Q1706" t="inlineStr"/>
      <c r="R1706" t="inlineStr"/>
      <c r="S1706">
        <f>HYPERLINK("https://helical-indexing-hi3d.streamlit.app/?emd_id=emd-17386&amp;rise=10.43825116&amp;twist=100.6169809&amp;csym=1&amp;rise2=10.446&amp;twist2=100.612&amp;csym2=1", "Link")</f>
        <v/>
      </c>
    </row>
    <row r="1707">
      <c r="A1707" t="inlineStr">
        <is>
          <t>EMD-17695</t>
        </is>
      </c>
      <c r="B1707" t="inlineStr">
        <is>
          <t>non-amyloid</t>
        </is>
      </c>
      <c r="C1707" t="n">
        <v>2.75</v>
      </c>
      <c r="D1707" t="n">
        <v>10.449</v>
      </c>
      <c r="E1707" t="n">
        <v>100.7</v>
      </c>
      <c r="F1707" t="inlineStr">
        <is>
          <t>C1</t>
        </is>
      </c>
      <c r="G1707" t="inlineStr">
        <is>
          <t>9.948401473</t>
        </is>
      </c>
      <c r="H1707" t="n">
        <v>100.6841554</v>
      </c>
      <c r="I1707" t="inlineStr">
        <is>
          <t>C1</t>
        </is>
      </c>
      <c r="J1707" t="n">
        <v>0.5006207528468678</v>
      </c>
      <c r="K1707" t="inlineStr"/>
      <c r="L1707" t="n">
        <v>0.53816</v>
      </c>
      <c r="M1707" t="n">
        <v>0.8823</v>
      </c>
      <c r="N1707" t="inlineStr">
        <is>
          <t>Yes</t>
        </is>
      </c>
      <c r="O1707" t="inlineStr">
        <is>
          <t>improve</t>
        </is>
      </c>
      <c r="P1707" t="inlineStr">
        <is>
          <t>adjusted decimals</t>
        </is>
      </c>
      <c r="Q1707" t="inlineStr"/>
      <c r="R1707" t="inlineStr"/>
      <c r="S1707">
        <f>HYPERLINK("https://helical-indexing-hi3d.streamlit.app/?emd_id=emd-17695&amp;rise=9.948401473&amp;twist=100.6841554&amp;csym=1&amp;rise2=10.449&amp;twist2=100.7&amp;csym2=1", "Link")</f>
        <v/>
      </c>
    </row>
    <row r="1708">
      <c r="A1708" t="inlineStr">
        <is>
          <t>EMD-17384</t>
        </is>
      </c>
      <c r="B1708" t="inlineStr">
        <is>
          <t>non-amyloid</t>
        </is>
      </c>
      <c r="C1708" t="n">
        <v>2.51</v>
      </c>
      <c r="D1708" t="n">
        <v>9.977</v>
      </c>
      <c r="E1708" t="n">
        <v>100.683</v>
      </c>
      <c r="F1708" t="inlineStr">
        <is>
          <t>C1</t>
        </is>
      </c>
      <c r="G1708" t="inlineStr">
        <is>
          <t>9.969775816</t>
        </is>
      </c>
      <c r="H1708" t="n">
        <v>100.6834961</v>
      </c>
      <c r="I1708" t="inlineStr">
        <is>
          <t>C1</t>
        </is>
      </c>
      <c r="J1708" t="n">
        <v>0.007225454</v>
      </c>
      <c r="K1708" t="inlineStr"/>
      <c r="L1708" t="n">
        <v>0.89439</v>
      </c>
      <c r="M1708" t="n">
        <v>0.89464</v>
      </c>
      <c r="N1708" t="inlineStr">
        <is>
          <t>Yes</t>
        </is>
      </c>
      <c r="O1708" t="inlineStr">
        <is>
          <t>improve</t>
        </is>
      </c>
      <c r="P1708" t="inlineStr">
        <is>
          <t>adjusted decimals</t>
        </is>
      </c>
      <c r="Q1708" t="inlineStr"/>
      <c r="R1708" t="inlineStr"/>
      <c r="S1708">
        <f>HYPERLINK("https://helical-indexing-hi3d.streamlit.app/?emd_id=emd-17384&amp;rise=9.969775816&amp;twist=100.6834961&amp;csym=1&amp;rise2=9.977&amp;twist2=100.683&amp;csym2=1", "Link")</f>
        <v/>
      </c>
    </row>
    <row r="1709">
      <c r="A1709" t="inlineStr">
        <is>
          <t>EMD-17683</t>
        </is>
      </c>
      <c r="B1709" t="inlineStr">
        <is>
          <t>non-amyloid</t>
        </is>
      </c>
      <c r="C1709" t="n">
        <v>2.9</v>
      </c>
      <c r="D1709" t="n">
        <v>10.429</v>
      </c>
      <c r="E1709" t="n">
        <v>100.753</v>
      </c>
      <c r="F1709" t="inlineStr">
        <is>
          <t>C1</t>
        </is>
      </c>
      <c r="G1709" t="inlineStr">
        <is>
          <t>10.41975226</t>
        </is>
      </c>
      <c r="H1709" t="n">
        <v>100.7369925</v>
      </c>
      <c r="I1709" t="inlineStr">
        <is>
          <t>C1</t>
        </is>
      </c>
      <c r="J1709" t="n">
        <v>0.010568458</v>
      </c>
      <c r="K1709" t="inlineStr"/>
      <c r="L1709" t="n">
        <v>0.91792</v>
      </c>
      <c r="M1709" t="n">
        <v>0.91825</v>
      </c>
      <c r="N1709" t="inlineStr">
        <is>
          <t>Yes</t>
        </is>
      </c>
      <c r="O1709" t="inlineStr">
        <is>
          <t>improve</t>
        </is>
      </c>
      <c r="P1709" t="inlineStr">
        <is>
          <t>adjusted decimals</t>
        </is>
      </c>
      <c r="Q1709" t="inlineStr"/>
      <c r="R1709" t="inlineStr"/>
      <c r="S1709">
        <f>HYPERLINK("https://helical-indexing-hi3d.streamlit.app/?emd_id=emd-17683&amp;rise=10.41975226&amp;twist=100.7369925&amp;csym=1&amp;rise2=10.429&amp;twist2=100.753&amp;csym2=1", "Link")</f>
        <v/>
      </c>
    </row>
    <row r="1710">
      <c r="A1710" t="inlineStr">
        <is>
          <t>EMD-17375</t>
        </is>
      </c>
      <c r="B1710" t="inlineStr">
        <is>
          <t>non-amyloid</t>
        </is>
      </c>
      <c r="C1710" t="n">
        <v>2.99</v>
      </c>
      <c r="D1710" t="n">
        <v>10.433</v>
      </c>
      <c r="E1710" t="n">
        <v>100.7</v>
      </c>
      <c r="F1710" t="inlineStr">
        <is>
          <t>C1</t>
        </is>
      </c>
      <c r="G1710" t="inlineStr">
        <is>
          <t>10.4382595</t>
        </is>
      </c>
      <c r="H1710" t="n">
        <v>100.6972233</v>
      </c>
      <c r="I1710" t="inlineStr">
        <is>
          <t>C1</t>
        </is>
      </c>
      <c r="J1710" t="n">
        <v>0.005329995</v>
      </c>
      <c r="K1710" t="inlineStr"/>
      <c r="L1710" t="n">
        <v>0.9234</v>
      </c>
      <c r="M1710" t="n">
        <v>0.92375</v>
      </c>
      <c r="N1710" t="inlineStr">
        <is>
          <t>Yes</t>
        </is>
      </c>
      <c r="O1710" t="inlineStr">
        <is>
          <t>improve</t>
        </is>
      </c>
      <c r="P1710" t="inlineStr">
        <is>
          <t>adjusted decimals</t>
        </is>
      </c>
      <c r="Q1710" t="inlineStr"/>
      <c r="R1710" t="inlineStr"/>
      <c r="S1710">
        <f>HYPERLINK("https://helical-indexing-hi3d.streamlit.app/?emd_id=emd-17375&amp;rise=10.4382595&amp;twist=100.6972233&amp;csym=1&amp;rise2=10.433&amp;twist2=100.7&amp;csym2=1", "Link")</f>
        <v/>
      </c>
    </row>
    <row r="1711">
      <c r="A1711" t="inlineStr">
        <is>
          <t>EMD-16844</t>
        </is>
      </c>
      <c r="B1711" t="inlineStr">
        <is>
          <t>non-amyloid</t>
        </is>
      </c>
      <c r="C1711" t="n">
        <v>7.2</v>
      </c>
      <c r="D1711" t="n">
        <v>42.461</v>
      </c>
      <c r="E1711" t="n">
        <v>73.7308</v>
      </c>
      <c r="F1711" t="inlineStr">
        <is>
          <t>C1</t>
        </is>
      </c>
      <c r="G1711" t="inlineStr">
        <is>
          <t>42.461</t>
        </is>
      </c>
      <c r="H1711" t="n">
        <v>73.7308</v>
      </c>
      <c r="I1711" t="inlineStr">
        <is>
          <t>C1</t>
        </is>
      </c>
      <c r="J1711" t="n">
        <v>0</v>
      </c>
      <c r="K1711" t="inlineStr"/>
      <c r="L1711" t="n">
        <v>0.96156</v>
      </c>
      <c r="M1711" t="n">
        <v>0.96156</v>
      </c>
      <c r="N1711" t="inlineStr">
        <is>
          <t>Yes</t>
        </is>
      </c>
      <c r="O1711" t="inlineStr">
        <is>
          <t>equal</t>
        </is>
      </c>
      <c r="P1711" t="inlineStr">
        <is>
          <t>deposited</t>
        </is>
      </c>
      <c r="Q1711" t="inlineStr"/>
      <c r="R1711" t="inlineStr"/>
      <c r="S1711">
        <f>HYPERLINK("https://helical-indexing-hi3d.streamlit.app/?emd_id=emd-16844&amp;rise=42.461&amp;twist=73.7308&amp;csym=1&amp;rise2=42.461&amp;twist2=73.7308&amp;csym2=1", "Link")</f>
        <v/>
      </c>
    </row>
    <row r="1712">
      <c r="A1712" t="inlineStr">
        <is>
          <t>EMD-19489</t>
        </is>
      </c>
      <c r="B1712" t="inlineStr">
        <is>
          <t>non-amyloid</t>
        </is>
      </c>
      <c r="C1712" t="n">
        <v>5.4</v>
      </c>
      <c r="D1712" t="n">
        <v>1.4</v>
      </c>
      <c r="E1712" t="n">
        <v>22.03</v>
      </c>
      <c r="F1712" t="inlineStr">
        <is>
          <t>C1</t>
        </is>
      </c>
      <c r="G1712" t="inlineStr">
        <is>
          <t>1.416860432</t>
        </is>
      </c>
      <c r="H1712" t="n">
        <v>-22.03484879</v>
      </c>
      <c r="I1712" t="inlineStr">
        <is>
          <t>C1</t>
        </is>
      </c>
      <c r="J1712" t="n">
        <v>19.88627265588</v>
      </c>
      <c r="K1712" t="inlineStr"/>
      <c r="L1712" t="n">
        <v>0.307</v>
      </c>
      <c r="M1712" t="n">
        <v>0.90622</v>
      </c>
      <c r="N1712" t="inlineStr">
        <is>
          <t>Yes</t>
        </is>
      </c>
      <c r="O1712" t="inlineStr">
        <is>
          <t>improve</t>
        </is>
      </c>
      <c r="P1712" t="inlineStr">
        <is>
          <t>twist sign</t>
        </is>
      </c>
      <c r="Q1712" t="inlineStr"/>
      <c r="R1712" t="inlineStr"/>
      <c r="S1712">
        <f>HYPERLINK("https://helical-indexing-hi3d.streamlit.app/?emd_id=emd-19489&amp;rise=1.416860432&amp;twist=-22.03484879&amp;csym=1&amp;rise2=1.4&amp;twist2=22.03&amp;csym2=1", "Link")</f>
        <v/>
      </c>
    </row>
    <row r="1713">
      <c r="A1713" t="inlineStr">
        <is>
          <t>EMD-35583</t>
        </is>
      </c>
      <c r="B1713" t="inlineStr">
        <is>
          <t>non-amyloid</t>
        </is>
      </c>
      <c r="C1713" t="n">
        <v>3.2</v>
      </c>
      <c r="D1713" t="n">
        <v>17.4</v>
      </c>
      <c r="E1713" t="n">
        <v>-34.616</v>
      </c>
      <c r="F1713" t="inlineStr">
        <is>
          <t>C1</t>
        </is>
      </c>
      <c r="G1713" t="inlineStr"/>
      <c r="H1713" t="inlineStr"/>
      <c r="I1713" t="inlineStr">
        <is>
          <t>Cnan</t>
        </is>
      </c>
      <c r="J1713" t="inlineStr"/>
      <c r="K1713" t="inlineStr"/>
      <c r="L1713" t="n">
        <v>0.41153</v>
      </c>
      <c r="M1713" t="n">
        <v>0.41153</v>
      </c>
      <c r="N1713" t="inlineStr">
        <is>
          <t>Excluded</t>
        </is>
      </c>
      <c r="O1713" t="inlineStr">
        <is>
          <t>equal</t>
        </is>
      </c>
      <c r="P1713" t="inlineStr">
        <is>
          <t>focus reconstruction</t>
        </is>
      </c>
      <c r="Q1713" t="inlineStr"/>
      <c r="R1713" t="inlineStr"/>
      <c r="S1713">
        <f>HYPERLINK("https://helical-indexing-hi3d.streamlit.app/?emd_id=emd-35583&amp;rise=nan&amp;twist=nan&amp;csym=nan&amp;rise2=17.4&amp;twist2=-34.616&amp;csym2=1", "Link")</f>
        <v/>
      </c>
    </row>
    <row r="1714">
      <c r="A1714" t="inlineStr">
        <is>
          <t>EMD-40918</t>
        </is>
      </c>
      <c r="B1714" t="inlineStr">
        <is>
          <t>non-amyloid</t>
        </is>
      </c>
      <c r="C1714" t="n">
        <v>3.35</v>
      </c>
      <c r="D1714" t="n">
        <v>68</v>
      </c>
      <c r="E1714" t="n">
        <v>51</v>
      </c>
      <c r="F1714" t="inlineStr">
        <is>
          <t>C2</t>
        </is>
      </c>
      <c r="G1714" t="inlineStr">
        <is>
          <t>67.89</t>
        </is>
      </c>
      <c r="H1714" t="n">
        <v>51.24</v>
      </c>
      <c r="I1714" t="inlineStr">
        <is>
          <t>C2</t>
        </is>
      </c>
      <c r="J1714" t="n">
        <v>0.1256942556366324</v>
      </c>
      <c r="K1714" t="inlineStr">
        <is>
          <t>z -&gt; x</t>
        </is>
      </c>
      <c r="L1714" t="n">
        <v>0.85367</v>
      </c>
      <c r="M1714" t="n">
        <v>0.87298</v>
      </c>
      <c r="N1714" t="inlineStr">
        <is>
          <t>Yes</t>
        </is>
      </c>
      <c r="O1714" t="inlineStr">
        <is>
          <t>improve</t>
        </is>
      </c>
      <c r="P1714" t="inlineStr">
        <is>
          <t>adjusted decimals</t>
        </is>
      </c>
      <c r="Q1714" t="inlineStr"/>
      <c r="R1714" t="inlineStr"/>
      <c r="S1714">
        <f>HYPERLINK("https://helical-indexing-hi3d.streamlit.app/?emd_id=emd-40918&amp;rise=67.89&amp;twist=51.24&amp;csym=2&amp;rise2=68.0&amp;twist2=51.0&amp;csym2=2", "Link")</f>
        <v/>
      </c>
    </row>
    <row r="1715">
      <c r="A1715" t="inlineStr">
        <is>
          <t>EMD-40950</t>
        </is>
      </c>
      <c r="B1715" t="inlineStr">
        <is>
          <t>non-amyloid</t>
        </is>
      </c>
      <c r="C1715" t="n">
        <v>3.3</v>
      </c>
      <c r="D1715" t="n">
        <v>66</v>
      </c>
      <c r="E1715" t="n">
        <v>48</v>
      </c>
      <c r="F1715" t="inlineStr">
        <is>
          <t>C1</t>
        </is>
      </c>
      <c r="G1715" t="inlineStr">
        <is>
          <t>66</t>
        </is>
      </c>
      <c r="H1715" t="n">
        <v>48</v>
      </c>
      <c r="I1715" t="inlineStr">
        <is>
          <t>C1</t>
        </is>
      </c>
      <c r="J1715" t="n">
        <v>0</v>
      </c>
      <c r="K1715" t="inlineStr"/>
      <c r="L1715" t="n">
        <v>0.93286</v>
      </c>
      <c r="M1715" t="n">
        <v>0.93286</v>
      </c>
      <c r="N1715" t="inlineStr">
        <is>
          <t>Yes</t>
        </is>
      </c>
      <c r="O1715" t="inlineStr">
        <is>
          <t>equal</t>
        </is>
      </c>
      <c r="P1715" t="inlineStr">
        <is>
          <t>deposited</t>
        </is>
      </c>
      <c r="Q1715" t="inlineStr"/>
      <c r="R1715" t="inlineStr"/>
      <c r="S1715">
        <f>HYPERLINK("https://helical-indexing-hi3d.streamlit.app/?emd_id=emd-40950&amp;rise=66&amp;twist=48.0&amp;csym=1&amp;rise2=66.0&amp;twist2=48.0&amp;csym2=1", "Link")</f>
        <v/>
      </c>
    </row>
    <row r="1716">
      <c r="A1716" t="inlineStr">
        <is>
          <t>EMD-28957</t>
        </is>
      </c>
      <c r="B1716" t="inlineStr">
        <is>
          <t>non-amyloid</t>
        </is>
      </c>
      <c r="C1716" t="n">
        <v>3</v>
      </c>
      <c r="D1716" t="n">
        <v>13.44</v>
      </c>
      <c r="E1716" t="n">
        <v>32.62</v>
      </c>
      <c r="F1716" t="inlineStr">
        <is>
          <t>C1</t>
        </is>
      </c>
      <c r="G1716" t="inlineStr">
        <is>
          <t>13.43244123</t>
        </is>
      </c>
      <c r="H1716" t="n">
        <v>32.62422728</v>
      </c>
      <c r="I1716" t="inlineStr">
        <is>
          <t>C1</t>
        </is>
      </c>
      <c r="J1716" t="n">
        <v>0.007676209</v>
      </c>
      <c r="K1716" t="inlineStr"/>
      <c r="L1716" t="n">
        <v>0.87327</v>
      </c>
      <c r="M1716" t="n">
        <v>0.87356</v>
      </c>
      <c r="N1716" t="inlineStr">
        <is>
          <t>Yes</t>
        </is>
      </c>
      <c r="O1716" t="inlineStr">
        <is>
          <t>improve</t>
        </is>
      </c>
      <c r="P1716" t="inlineStr">
        <is>
          <t>adjusted decimals</t>
        </is>
      </c>
      <c r="Q1716" t="inlineStr"/>
      <c r="R1716" t="inlineStr"/>
      <c r="S1716">
        <f>HYPERLINK("https://helical-indexing-hi3d.streamlit.app/?emd_id=emd-28957&amp;rise=13.43244123&amp;twist=32.62422728&amp;csym=1&amp;rise2=13.44&amp;twist2=32.62&amp;csym2=1", "Link")</f>
        <v/>
      </c>
    </row>
    <row r="1717">
      <c r="A1717" t="inlineStr">
        <is>
          <t>EMD-18119</t>
        </is>
      </c>
      <c r="B1717" t="inlineStr">
        <is>
          <t>non-amyloid</t>
        </is>
      </c>
      <c r="C1717" t="n">
        <v>3.22</v>
      </c>
      <c r="D1717" t="n">
        <v>15.403</v>
      </c>
      <c r="E1717" t="n">
        <v>-39.879</v>
      </c>
      <c r="F1717" t="inlineStr">
        <is>
          <t>C1</t>
        </is>
      </c>
      <c r="G1717" t="inlineStr">
        <is>
          <t>15.403</t>
        </is>
      </c>
      <c r="H1717" t="n">
        <v>-39.879</v>
      </c>
      <c r="I1717" t="inlineStr">
        <is>
          <t>C1</t>
        </is>
      </c>
      <c r="J1717" t="n">
        <v>0</v>
      </c>
      <c r="K1717" t="inlineStr"/>
      <c r="L1717" t="n">
        <v>0.96305</v>
      </c>
      <c r="M1717" t="n">
        <v>0.96305</v>
      </c>
      <c r="N1717" t="inlineStr">
        <is>
          <t>Yes</t>
        </is>
      </c>
      <c r="O1717" t="inlineStr">
        <is>
          <t>equal</t>
        </is>
      </c>
      <c r="P1717" t="inlineStr">
        <is>
          <t>deposited</t>
        </is>
      </c>
      <c r="Q1717" t="inlineStr"/>
      <c r="R1717" t="inlineStr"/>
      <c r="S1717">
        <f>HYPERLINK("https://helical-indexing-hi3d.streamlit.app/?emd_id=emd-18119&amp;rise=15.403&amp;twist=-39.879&amp;csym=1&amp;rise2=15.403&amp;twist2=-39.879&amp;csym2=1", "Link")</f>
        <v/>
      </c>
    </row>
    <row r="1718">
      <c r="A1718" t="inlineStr">
        <is>
          <t>EMD-41583</t>
        </is>
      </c>
      <c r="B1718" t="inlineStr">
        <is>
          <t>non-amyloid</t>
        </is>
      </c>
      <c r="C1718" t="n">
        <v>2.5</v>
      </c>
      <c r="D1718" t="n">
        <v>28.1</v>
      </c>
      <c r="E1718" t="n">
        <v>-167</v>
      </c>
      <c r="F1718" t="inlineStr">
        <is>
          <t>C1</t>
        </is>
      </c>
      <c r="G1718" t="inlineStr">
        <is>
          <t>28.1</t>
        </is>
      </c>
      <c r="H1718" t="n">
        <v>-167</v>
      </c>
      <c r="I1718" t="inlineStr">
        <is>
          <t>C1</t>
        </is>
      </c>
      <c r="J1718" t="n">
        <v>0</v>
      </c>
      <c r="K1718" t="inlineStr">
        <is>
          <t>z -&gt; x</t>
        </is>
      </c>
      <c r="L1718" t="n">
        <v>0.84309</v>
      </c>
      <c r="M1718" t="n">
        <v>0.84309</v>
      </c>
      <c r="N1718" t="inlineStr">
        <is>
          <t>Yes</t>
        </is>
      </c>
      <c r="O1718" t="inlineStr">
        <is>
          <t>equal</t>
        </is>
      </c>
      <c r="P1718" t="inlineStr">
        <is>
          <t>deposited</t>
        </is>
      </c>
      <c r="Q1718" t="inlineStr"/>
      <c r="R1718" t="inlineStr"/>
      <c r="S1718">
        <f>HYPERLINK("https://helical-indexing-hi3d.streamlit.app/?emd_id=emd-41583&amp;rise=28.1&amp;twist=-167.0&amp;csym=1&amp;rise2=28.1&amp;twist2=-167.0&amp;csym2=1", "Link")</f>
        <v/>
      </c>
    </row>
    <row r="1719">
      <c r="A1719" t="inlineStr">
        <is>
          <t>EMD-41584</t>
        </is>
      </c>
      <c r="B1719" t="inlineStr">
        <is>
          <t>non-amyloid</t>
        </is>
      </c>
      <c r="C1719" t="n">
        <v>3</v>
      </c>
      <c r="D1719" t="n">
        <v>28.1</v>
      </c>
      <c r="E1719" t="n">
        <v>-167</v>
      </c>
      <c r="F1719" t="inlineStr">
        <is>
          <t>C1</t>
        </is>
      </c>
      <c r="G1719" t="inlineStr">
        <is>
          <t>28.1</t>
        </is>
      </c>
      <c r="H1719" t="n">
        <v>-167</v>
      </c>
      <c r="I1719" t="inlineStr">
        <is>
          <t>C1</t>
        </is>
      </c>
      <c r="J1719" t="n">
        <v>0</v>
      </c>
      <c r="K1719" t="inlineStr">
        <is>
          <t>z -&gt; x</t>
        </is>
      </c>
      <c r="L1719" t="n">
        <v>0.84221</v>
      </c>
      <c r="M1719" t="n">
        <v>0.84221</v>
      </c>
      <c r="N1719" t="inlineStr">
        <is>
          <t>Yes</t>
        </is>
      </c>
      <c r="O1719" t="inlineStr">
        <is>
          <t>equal</t>
        </is>
      </c>
      <c r="P1719" t="inlineStr">
        <is>
          <t>deposited</t>
        </is>
      </c>
      <c r="Q1719" t="inlineStr"/>
      <c r="R1719" t="inlineStr"/>
      <c r="S1719">
        <f>HYPERLINK("https://helical-indexing-hi3d.streamlit.app/?emd_id=emd-41584&amp;rise=28.1&amp;twist=-167.0&amp;csym=1&amp;rise2=28.1&amp;twist2=-167.0&amp;csym2=1", "Link")</f>
        <v/>
      </c>
    </row>
    <row r="1720">
      <c r="A1720" t="inlineStr">
        <is>
          <t>EMD-41442</t>
        </is>
      </c>
      <c r="B1720" t="inlineStr">
        <is>
          <t>non-amyloid</t>
        </is>
      </c>
      <c r="C1720" t="n">
        <v>3.14</v>
      </c>
      <c r="D1720" t="n">
        <v>10</v>
      </c>
      <c r="E1720" t="n">
        <v>92</v>
      </c>
      <c r="F1720" t="inlineStr">
        <is>
          <t>C1</t>
        </is>
      </c>
      <c r="G1720" t="inlineStr">
        <is>
          <t>10.02804444</t>
        </is>
      </c>
      <c r="H1720" t="n">
        <v>91.92768679</v>
      </c>
      <c r="I1720" t="inlineStr">
        <is>
          <t>C1</t>
        </is>
      </c>
      <c r="J1720" t="n">
        <v>0.03619146</v>
      </c>
      <c r="K1720" t="inlineStr"/>
      <c r="L1720" t="n">
        <v>0.92382</v>
      </c>
      <c r="M1720" t="n">
        <v>0.93252</v>
      </c>
      <c r="N1720" t="inlineStr">
        <is>
          <t>Yes</t>
        </is>
      </c>
      <c r="O1720" t="inlineStr">
        <is>
          <t>improve</t>
        </is>
      </c>
      <c r="P1720" t="inlineStr">
        <is>
          <t>adjusted decimals</t>
        </is>
      </c>
      <c r="Q1720" t="inlineStr"/>
      <c r="R1720" t="inlineStr"/>
      <c r="S1720">
        <f>HYPERLINK("https://helical-indexing-hi3d.streamlit.app/?emd_id=emd-41442&amp;rise=10.02804444&amp;twist=91.92768679&amp;csym=1&amp;rise2=10.0&amp;twist2=92.0&amp;csym2=1", "Link")</f>
        <v/>
      </c>
    </row>
    <row r="1721">
      <c r="A1721" t="inlineStr">
        <is>
          <t>EMD-45563</t>
        </is>
      </c>
      <c r="B1721" t="inlineStr">
        <is>
          <t>non-amyloid</t>
        </is>
      </c>
      <c r="C1721" t="n">
        <v>2.8</v>
      </c>
      <c r="D1721" t="n">
        <v>28.266</v>
      </c>
      <c r="E1721" t="n">
        <v>-167.687</v>
      </c>
      <c r="F1721" t="inlineStr">
        <is>
          <t>C1</t>
        </is>
      </c>
      <c r="G1721" t="inlineStr">
        <is>
          <t>27.3967217</t>
        </is>
      </c>
      <c r="H1721" t="n">
        <v>-167.2364429</v>
      </c>
      <c r="I1721" t="inlineStr">
        <is>
          <t>C1</t>
        </is>
      </c>
      <c r="J1721" t="n">
        <v>0.874321739</v>
      </c>
      <c r="K1721" t="inlineStr"/>
      <c r="L1721" t="n">
        <v>0.579515479</v>
      </c>
      <c r="M1721" t="n">
        <v>0.695646757</v>
      </c>
      <c r="N1721" t="inlineStr">
        <is>
          <t>Yes</t>
        </is>
      </c>
      <c r="O1721" t="inlineStr">
        <is>
          <t>improve</t>
        </is>
      </c>
      <c r="P1721" t="inlineStr">
        <is>
          <t>adjusted decimals</t>
        </is>
      </c>
      <c r="Q1721" t="inlineStr"/>
      <c r="R1721" t="inlineStr"/>
      <c r="S1721">
        <f>HYPERLINK("https://helical-indexing-hi3d.streamlit.app/?emd_id=emd-45563&amp;rise=27.3967217&amp;twist=-167.2364429&amp;csym=1&amp;rise2=28.266&amp;twist2=-167.687&amp;csym2=1", "Link")</f>
        <v/>
      </c>
    </row>
    <row r="1722">
      <c r="A1722" t="inlineStr">
        <is>
          <t>EMD-45566</t>
        </is>
      </c>
      <c r="B1722" t="inlineStr">
        <is>
          <t>non-amyloid</t>
        </is>
      </c>
      <c r="C1722" t="n">
        <v>2.7</v>
      </c>
      <c r="D1722" t="n">
        <v>27.44</v>
      </c>
      <c r="E1722" t="n">
        <v>-167.32</v>
      </c>
      <c r="F1722" t="inlineStr">
        <is>
          <t>C1</t>
        </is>
      </c>
      <c r="G1722" t="inlineStr">
        <is>
          <t>27.37370824</t>
        </is>
      </c>
      <c r="H1722" t="n">
        <v>-167.0115472</v>
      </c>
      <c r="I1722" t="inlineStr">
        <is>
          <t>C1</t>
        </is>
      </c>
      <c r="J1722" t="n">
        <v>0.094574415</v>
      </c>
      <c r="K1722" t="inlineStr"/>
      <c r="L1722" t="n">
        <v>0.7104081719999999</v>
      </c>
      <c r="M1722" t="n">
        <v>0.707900874</v>
      </c>
      <c r="N1722" t="inlineStr">
        <is>
          <t>Yes</t>
        </is>
      </c>
      <c r="O1722" t="inlineStr">
        <is>
          <t>equal</t>
        </is>
      </c>
      <c r="P1722" t="inlineStr">
        <is>
          <t>deposited</t>
        </is>
      </c>
      <c r="Q1722" t="inlineStr"/>
      <c r="R1722" t="inlineStr"/>
      <c r="S1722">
        <f>HYPERLINK("https://helical-indexing-hi3d.streamlit.app/?emd_id=emd-45566&amp;rise=27.37370824&amp;twist=-167.0115472&amp;csym=1&amp;rise2=27.44&amp;twist2=-167.32&amp;csym2=1", "Link")</f>
        <v/>
      </c>
    </row>
    <row r="1723">
      <c r="A1723" t="inlineStr">
        <is>
          <t>EMD-44013</t>
        </is>
      </c>
      <c r="B1723" t="inlineStr">
        <is>
          <t>non-amyloid</t>
        </is>
      </c>
      <c r="C1723" t="n">
        <v>2.98</v>
      </c>
      <c r="D1723" t="n">
        <v>27.6</v>
      </c>
      <c r="E1723" t="n">
        <v>-166.66</v>
      </c>
      <c r="F1723" t="inlineStr">
        <is>
          <t>C1</t>
        </is>
      </c>
      <c r="G1723" t="inlineStr">
        <is>
          <t>27.51926155</t>
        </is>
      </c>
      <c r="H1723" t="n">
        <v>-166.4082685</v>
      </c>
      <c r="I1723" t="inlineStr">
        <is>
          <t>C1</t>
        </is>
      </c>
      <c r="J1723" t="n">
        <v>0.1259202214201533</v>
      </c>
      <c r="K1723" t="inlineStr"/>
      <c r="L1723" t="n">
        <v>0.950095503</v>
      </c>
      <c r="M1723" t="n">
        <v>0.957633649</v>
      </c>
      <c r="N1723" t="inlineStr">
        <is>
          <t>Yes</t>
        </is>
      </c>
      <c r="O1723" t="inlineStr">
        <is>
          <t>equal</t>
        </is>
      </c>
      <c r="P1723" t="inlineStr">
        <is>
          <t>deposited</t>
        </is>
      </c>
      <c r="Q1723" t="inlineStr"/>
      <c r="R1723" t="inlineStr"/>
      <c r="S1723">
        <f>HYPERLINK("https://helical-indexing-hi3d.streamlit.app/?emd_id=emd-44013&amp;rise=27.51926155&amp;twist=-166.4082685&amp;csym=1&amp;rise2=27.6&amp;twist2=-166.66&amp;csym2=1", "Link")</f>
        <v/>
      </c>
    </row>
    <row r="1724">
      <c r="A1724" t="inlineStr">
        <is>
          <t>EMD-45564</t>
        </is>
      </c>
      <c r="B1724" t="inlineStr">
        <is>
          <t>non-amyloid</t>
        </is>
      </c>
      <c r="C1724" t="n">
        <v>2.7</v>
      </c>
      <c r="D1724" t="n">
        <v>27.758</v>
      </c>
      <c r="E1724" t="n">
        <v>-167.078</v>
      </c>
      <c r="F1724" t="inlineStr">
        <is>
          <t>C1</t>
        </is>
      </c>
      <c r="G1724" t="inlineStr">
        <is>
          <t>27.39917501</t>
        </is>
      </c>
      <c r="H1724" t="n">
        <v>-167.2780141</v>
      </c>
      <c r="I1724" t="inlineStr">
        <is>
          <t>C1</t>
        </is>
      </c>
      <c r="J1724" t="n">
        <v>0.3610720892421699</v>
      </c>
      <c r="K1724" t="inlineStr"/>
      <c r="L1724" t="n">
        <v>0.68856576</v>
      </c>
      <c r="M1724" t="n">
        <v>0.73095411</v>
      </c>
      <c r="N1724" t="inlineStr">
        <is>
          <t>Yes</t>
        </is>
      </c>
      <c r="O1724" t="inlineStr">
        <is>
          <t>equal</t>
        </is>
      </c>
      <c r="P1724" t="inlineStr">
        <is>
          <t>deposited</t>
        </is>
      </c>
      <c r="Q1724" t="inlineStr"/>
      <c r="R1724" t="inlineStr"/>
      <c r="S1724">
        <f>HYPERLINK("https://helical-indexing-hi3d.streamlit.app/?emd_id=emd-45564&amp;rise=27.39917501&amp;twist=-167.2780141&amp;csym=1&amp;rise2=27.758&amp;twist2=-167.078&amp;csym2=1", "Link")</f>
        <v/>
      </c>
    </row>
    <row r="1725">
      <c r="A1725" t="inlineStr">
        <is>
          <t>EMD-48243</t>
        </is>
      </c>
      <c r="B1725" t="inlineStr">
        <is>
          <t>non-amyloid</t>
        </is>
      </c>
      <c r="C1725" t="n">
        <v>3.06</v>
      </c>
      <c r="D1725" t="n">
        <v>27.6</v>
      </c>
      <c r="E1725" t="n">
        <v>-166.66</v>
      </c>
      <c r="F1725" t="inlineStr">
        <is>
          <t>C1</t>
        </is>
      </c>
      <c r="G1725" t="inlineStr">
        <is>
          <t>27.42418404</t>
        </is>
      </c>
      <c r="H1725" t="n">
        <v>-166.666356</v>
      </c>
      <c r="I1725" t="inlineStr">
        <is>
          <t>C1</t>
        </is>
      </c>
      <c r="J1725" t="n">
        <v>0.1758313637244327</v>
      </c>
      <c r="K1725" t="inlineStr"/>
      <c r="L1725" t="n">
        <v>0.695791303</v>
      </c>
      <c r="M1725" t="n">
        <v>0.707213465</v>
      </c>
      <c r="N1725" t="inlineStr">
        <is>
          <t>Yes</t>
        </is>
      </c>
      <c r="O1725" t="inlineStr">
        <is>
          <t>equal</t>
        </is>
      </c>
      <c r="P1725" t="inlineStr">
        <is>
          <t>deposited</t>
        </is>
      </c>
      <c r="Q1725" t="inlineStr"/>
      <c r="R1725" t="inlineStr"/>
      <c r="S1725">
        <f>HYPERLINK("https://helical-indexing-hi3d.streamlit.app/?emd_id=emd-48243&amp;rise=27.42418404&amp;twist=-166.666356&amp;csym=1&amp;rise2=27.6&amp;twist2=-166.66&amp;csym2=1", "Link")</f>
        <v/>
      </c>
    </row>
    <row r="1726">
      <c r="A1726" t="inlineStr">
        <is>
          <t>EMD-48238</t>
        </is>
      </c>
      <c r="B1726" t="inlineStr">
        <is>
          <t>non-amyloid</t>
        </is>
      </c>
      <c r="C1726" t="n">
        <v>2.97</v>
      </c>
      <c r="D1726" t="n">
        <v>27.6</v>
      </c>
      <c r="E1726" t="n">
        <v>-166.66</v>
      </c>
      <c r="F1726" t="inlineStr">
        <is>
          <t>C1</t>
        </is>
      </c>
      <c r="G1726" t="inlineStr">
        <is>
          <t>27.50648511</t>
        </is>
      </c>
      <c r="H1726" t="n">
        <v>-166.3746216</v>
      </c>
      <c r="I1726" t="inlineStr">
        <is>
          <t>C1</t>
        </is>
      </c>
      <c r="J1726" t="n">
        <v>0.1422102313594367</v>
      </c>
      <c r="K1726" t="inlineStr"/>
      <c r="L1726" t="n">
        <v>0.659902308</v>
      </c>
      <c r="M1726" t="n">
        <v>0.670672327</v>
      </c>
      <c r="N1726" t="inlineStr">
        <is>
          <t>Yes</t>
        </is>
      </c>
      <c r="O1726" t="inlineStr">
        <is>
          <t>equal</t>
        </is>
      </c>
      <c r="P1726" t="inlineStr">
        <is>
          <t>deposited</t>
        </is>
      </c>
      <c r="Q1726" t="inlineStr"/>
      <c r="R1726" t="inlineStr"/>
      <c r="S1726">
        <f>HYPERLINK("https://helical-indexing-hi3d.streamlit.app/?emd_id=emd-48238&amp;rise=27.50648511&amp;twist=-166.3746216&amp;csym=1&amp;rise2=27.6&amp;twist2=-166.66&amp;csym2=1", "Link")</f>
        <v/>
      </c>
    </row>
    <row r="1727">
      <c r="A1727" t="inlineStr">
        <is>
          <t>EMD-19960</t>
        </is>
      </c>
      <c r="B1727" t="inlineStr">
        <is>
          <t>non-amyloid</t>
        </is>
      </c>
      <c r="C1727" t="n">
        <v>2.6</v>
      </c>
      <c r="D1727" t="n">
        <v>15.52</v>
      </c>
      <c r="E1727" t="n">
        <v>-39.86</v>
      </c>
      <c r="F1727" t="inlineStr">
        <is>
          <t>C1</t>
        </is>
      </c>
      <c r="G1727" t="inlineStr">
        <is>
          <t>15.5181946</t>
        </is>
      </c>
      <c r="H1727" t="n">
        <v>-39.85245431</v>
      </c>
      <c r="I1727" t="inlineStr">
        <is>
          <t>C1</t>
        </is>
      </c>
      <c r="J1727" t="n">
        <v>0.003363158</v>
      </c>
      <c r="K1727" t="inlineStr"/>
      <c r="L1727" t="n">
        <v>0.918599851</v>
      </c>
      <c r="M1727" t="n">
        <v>0.918623324</v>
      </c>
      <c r="N1727" t="inlineStr">
        <is>
          <t>Yes</t>
        </is>
      </c>
      <c r="O1727" t="inlineStr">
        <is>
          <t>equal</t>
        </is>
      </c>
      <c r="P1727" t="inlineStr">
        <is>
          <t>deposited</t>
        </is>
      </c>
      <c r="Q1727" t="inlineStr"/>
      <c r="R1727" t="inlineStr"/>
      <c r="S1727">
        <f>HYPERLINK("https://helical-indexing-hi3d.streamlit.app/?emd_id=emd-19960&amp;rise=15.5181946&amp;twist=-39.85245431&amp;csym=1&amp;rise2=15.52&amp;twist2=-39.86&amp;csym2=1", "Link")</f>
        <v/>
      </c>
    </row>
    <row r="1728">
      <c r="A1728" t="inlineStr">
        <is>
          <t>EMD-19990</t>
        </is>
      </c>
      <c r="B1728" t="inlineStr">
        <is>
          <t>non-amyloid</t>
        </is>
      </c>
      <c r="C1728" t="n">
        <v>2.38</v>
      </c>
      <c r="D1728" t="n">
        <v>15.282</v>
      </c>
      <c r="E1728" t="n">
        <v>-39.953</v>
      </c>
      <c r="F1728" t="inlineStr">
        <is>
          <t>C1</t>
        </is>
      </c>
      <c r="G1728" t="inlineStr">
        <is>
          <t>15.28772338</t>
        </is>
      </c>
      <c r="H1728" t="n">
        <v>-39.94264202</v>
      </c>
      <c r="I1728" t="inlineStr">
        <is>
          <t>C1</t>
        </is>
      </c>
      <c r="J1728" t="n">
        <v>0.007054879</v>
      </c>
      <c r="K1728" t="inlineStr"/>
      <c r="L1728" t="n">
        <v>0.907453011</v>
      </c>
      <c r="M1728" t="n">
        <v>0.907426943</v>
      </c>
      <c r="N1728" t="inlineStr">
        <is>
          <t>Yes</t>
        </is>
      </c>
      <c r="O1728" t="inlineStr">
        <is>
          <t>equal</t>
        </is>
      </c>
      <c r="P1728" t="inlineStr">
        <is>
          <t>deposited</t>
        </is>
      </c>
      <c r="Q1728" t="inlineStr"/>
      <c r="R1728" t="inlineStr"/>
      <c r="S1728">
        <f>HYPERLINK("https://helical-indexing-hi3d.streamlit.app/?emd_id=emd-19990&amp;rise=15.28772338&amp;twist=-39.94264202&amp;csym=1&amp;rise2=15.282&amp;twist2=-39.953&amp;csym2=1", "Link")</f>
        <v/>
      </c>
    </row>
    <row r="1729">
      <c r="A1729" t="inlineStr">
        <is>
          <t>EMD-19961</t>
        </is>
      </c>
      <c r="B1729" t="inlineStr">
        <is>
          <t>non-amyloid</t>
        </is>
      </c>
      <c r="C1729" t="n">
        <v>2.37</v>
      </c>
      <c r="D1729" t="n">
        <v>5.4</v>
      </c>
      <c r="E1729" t="n">
        <v>107.9</v>
      </c>
      <c r="F1729" t="inlineStr">
        <is>
          <t>C1</t>
        </is>
      </c>
      <c r="G1729" t="inlineStr">
        <is>
          <t>5.39753699</t>
        </is>
      </c>
      <c r="H1729" t="n">
        <v>107.8999996</v>
      </c>
      <c r="I1729" t="inlineStr">
        <is>
          <t>C1</t>
        </is>
      </c>
      <c r="J1729" t="n">
        <v>0.00246301</v>
      </c>
      <c r="K1729" t="inlineStr"/>
      <c r="L1729" t="n">
        <v>0.916362343</v>
      </c>
      <c r="M1729" t="n">
        <v>0.916725463</v>
      </c>
      <c r="N1729" t="inlineStr">
        <is>
          <t>Yes</t>
        </is>
      </c>
      <c r="O1729" t="inlineStr">
        <is>
          <t>equal</t>
        </is>
      </c>
      <c r="P1729" t="inlineStr">
        <is>
          <t>deposited</t>
        </is>
      </c>
      <c r="Q1729" t="inlineStr"/>
      <c r="R1729" t="inlineStr"/>
      <c r="S1729">
        <f>HYPERLINK("https://helical-indexing-hi3d.streamlit.app/?emd_id=emd-19961&amp;rise=5.39753699&amp;twist=107.8999996&amp;csym=1&amp;rise2=5.4&amp;twist2=107.9&amp;csym2=1", "Link")</f>
        <v/>
      </c>
    </row>
    <row r="1730">
      <c r="A1730" t="inlineStr">
        <is>
          <t>EMD-45164</t>
        </is>
      </c>
      <c r="B1730" t="inlineStr">
        <is>
          <t>non-amyloid</t>
        </is>
      </c>
      <c r="C1730" t="n">
        <v>3.4</v>
      </c>
      <c r="D1730" t="n">
        <v>37.062</v>
      </c>
      <c r="E1730" t="n">
        <v>25.75</v>
      </c>
      <c r="F1730" t="inlineStr">
        <is>
          <t>C6</t>
        </is>
      </c>
      <c r="G1730" t="inlineStr">
        <is>
          <t>37.08184126</t>
        </is>
      </c>
      <c r="H1730" t="n">
        <v>25.70004288</v>
      </c>
      <c r="I1730" t="inlineStr">
        <is>
          <t>C6</t>
        </is>
      </c>
      <c r="J1730" t="n">
        <v>0.042986407</v>
      </c>
      <c r="K1730" t="inlineStr"/>
      <c r="L1730" t="n">
        <v>0.775826848</v>
      </c>
      <c r="M1730" t="n">
        <v>0.778653264</v>
      </c>
      <c r="N1730" t="inlineStr">
        <is>
          <t>Yes</t>
        </is>
      </c>
      <c r="O1730" t="inlineStr">
        <is>
          <t>equal</t>
        </is>
      </c>
      <c r="P1730" t="inlineStr">
        <is>
          <t>deposited</t>
        </is>
      </c>
      <c r="Q1730" t="inlineStr"/>
      <c r="R1730" t="inlineStr"/>
      <c r="S1730">
        <f>HYPERLINK("https://helical-indexing-hi3d.streamlit.app/?emd_id=emd-45164&amp;rise=37.08184126&amp;twist=25.70004288&amp;csym=6&amp;rise2=37.062&amp;twist2=25.75&amp;csym2=6", "Link")</f>
        <v/>
      </c>
    </row>
    <row r="1731">
      <c r="A1731" t="inlineStr">
        <is>
          <t>EMD-39905</t>
        </is>
      </c>
      <c r="B1731" t="inlineStr">
        <is>
          <t>non-amyloid</t>
        </is>
      </c>
      <c r="C1731" t="n">
        <v>3.32</v>
      </c>
      <c r="D1731" t="n">
        <v>27.4</v>
      </c>
      <c r="E1731" t="n">
        <v>-166.69</v>
      </c>
      <c r="F1731" t="inlineStr">
        <is>
          <t>C1</t>
        </is>
      </c>
      <c r="G1731" t="inlineStr">
        <is>
          <t>27.65195568</t>
        </is>
      </c>
      <c r="H1731" t="n">
        <v>-166.4126744</v>
      </c>
      <c r="I1731" t="inlineStr">
        <is>
          <t>C1</t>
        </is>
      </c>
      <c r="J1731" t="n">
        <v>0.2964334557103715</v>
      </c>
      <c r="K1731" t="inlineStr"/>
      <c r="L1731" t="n">
        <v>0.9575523460000001</v>
      </c>
      <c r="M1731" t="n">
        <v>0.954449268</v>
      </c>
      <c r="N1731" t="inlineStr">
        <is>
          <t>Yes</t>
        </is>
      </c>
      <c r="O1731" t="inlineStr">
        <is>
          <t>equal</t>
        </is>
      </c>
      <c r="P1731" t="inlineStr">
        <is>
          <t>deposited</t>
        </is>
      </c>
      <c r="Q1731" t="inlineStr"/>
      <c r="R1731" t="inlineStr"/>
      <c r="S1731">
        <f>HYPERLINK("https://helical-indexing-hi3d.streamlit.app/?emd_id=emd-39905&amp;rise=27.65195568&amp;twist=-166.4126744&amp;csym=1&amp;rise2=27.4&amp;twist2=-166.69&amp;csym2=1", "Link")</f>
        <v/>
      </c>
    </row>
    <row r="1732">
      <c r="A1732" t="inlineStr">
        <is>
          <t>EMD-38862</t>
        </is>
      </c>
      <c r="B1732" t="inlineStr">
        <is>
          <t>amyloid</t>
        </is>
      </c>
      <c r="C1732" t="n">
        <v>3.2</v>
      </c>
      <c r="D1732" t="n">
        <v>2.408</v>
      </c>
      <c r="E1732" t="n">
        <v>179.669</v>
      </c>
      <c r="F1732" t="inlineStr">
        <is>
          <t>C1</t>
        </is>
      </c>
      <c r="G1732" t="inlineStr">
        <is>
          <t>2.41140479</t>
        </is>
      </c>
      <c r="H1732" t="n">
        <v>179.6792623</v>
      </c>
      <c r="I1732" t="inlineStr">
        <is>
          <t>C1</t>
        </is>
      </c>
      <c r="J1732" t="n">
        <v>0.005708082</v>
      </c>
      <c r="K1732" t="inlineStr"/>
      <c r="L1732" t="n">
        <v>0.873592303</v>
      </c>
      <c r="M1732" t="n">
        <v>0.880148907</v>
      </c>
      <c r="N1732" t="inlineStr">
        <is>
          <t>Yes</t>
        </is>
      </c>
      <c r="O1732" t="inlineStr">
        <is>
          <t>equal</t>
        </is>
      </c>
      <c r="P1732" t="inlineStr">
        <is>
          <t>deposited</t>
        </is>
      </c>
      <c r="Q1732" t="inlineStr"/>
      <c r="R1732" t="inlineStr"/>
      <c r="S1732">
        <f>HYPERLINK("https://helical-indexing-hi3d.streamlit.app/?emd_id=emd-38862&amp;rise=2.41140479&amp;twist=179.6792623&amp;csym=1&amp;rise2=2.408&amp;twist2=179.669&amp;csym2=1", "Link")</f>
        <v/>
      </c>
    </row>
    <row r="1733">
      <c r="A1733" t="inlineStr">
        <is>
          <t>EMD-38863</t>
        </is>
      </c>
      <c r="B1733" t="inlineStr">
        <is>
          <t>amyloid</t>
        </is>
      </c>
      <c r="C1733" t="n">
        <v>2.8</v>
      </c>
      <c r="D1733" t="n">
        <v>2.415</v>
      </c>
      <c r="E1733" t="n">
        <v>179.666</v>
      </c>
      <c r="F1733" t="inlineStr">
        <is>
          <t>C1</t>
        </is>
      </c>
      <c r="G1733" t="inlineStr">
        <is>
          <t>2.413651896</t>
        </is>
      </c>
      <c r="H1733" t="n">
        <v>179.6621294</v>
      </c>
      <c r="I1733" t="inlineStr">
        <is>
          <t>C1</t>
        </is>
      </c>
      <c r="J1733" t="n">
        <v>0.002092725</v>
      </c>
      <c r="K1733" t="inlineStr"/>
      <c r="L1733" t="n">
        <v>0.8863168769999999</v>
      </c>
      <c r="M1733" t="n">
        <v>0.8840564910000001</v>
      </c>
      <c r="N1733" t="inlineStr">
        <is>
          <t>Yes</t>
        </is>
      </c>
      <c r="O1733" t="inlineStr">
        <is>
          <t>equal</t>
        </is>
      </c>
      <c r="P1733" t="inlineStr">
        <is>
          <t>deposited</t>
        </is>
      </c>
      <c r="Q1733" t="inlineStr"/>
      <c r="R1733" t="inlineStr"/>
      <c r="S1733">
        <f>HYPERLINK("https://helical-indexing-hi3d.streamlit.app/?emd_id=emd-38863&amp;rise=2.413651896&amp;twist=179.6621294&amp;csym=1&amp;rise2=2.415&amp;twist2=179.666&amp;csym2=1", "Link")</f>
        <v/>
      </c>
    </row>
    <row r="1734">
      <c r="A1734" t="inlineStr">
        <is>
          <t>EMD-39896</t>
        </is>
      </c>
      <c r="B1734" t="inlineStr">
        <is>
          <t>non-amyloid</t>
        </is>
      </c>
      <c r="C1734" t="n">
        <v>3.19</v>
      </c>
      <c r="D1734" t="n">
        <v>27.3</v>
      </c>
      <c r="E1734" t="n">
        <v>-166.66</v>
      </c>
      <c r="F1734" t="inlineStr">
        <is>
          <t>C1</t>
        </is>
      </c>
      <c r="G1734" t="inlineStr">
        <is>
          <t>27.73197079</t>
        </is>
      </c>
      <c r="H1734" t="n">
        <v>-166.601419</v>
      </c>
      <c r="I1734" t="inlineStr">
        <is>
          <t>C1</t>
        </is>
      </c>
      <c r="J1734" t="n">
        <v>0.4334040989185838</v>
      </c>
      <c r="K1734" t="inlineStr"/>
      <c r="L1734" t="n">
        <v>0.7887053389999999</v>
      </c>
      <c r="M1734" t="n">
        <v>0.937802659</v>
      </c>
      <c r="N1734" t="inlineStr">
        <is>
          <t>Yes</t>
        </is>
      </c>
      <c r="O1734" t="inlineStr">
        <is>
          <t>equal</t>
        </is>
      </c>
      <c r="P1734" t="inlineStr">
        <is>
          <t>deposited</t>
        </is>
      </c>
      <c r="Q1734" t="inlineStr"/>
      <c r="R1734" t="inlineStr"/>
      <c r="S1734">
        <f>HYPERLINK("https://helical-indexing-hi3d.streamlit.app/?emd_id=emd-39896&amp;rise=27.73197079&amp;twist=-166.601419&amp;csym=1&amp;rise2=27.3&amp;twist2=-166.66&amp;csym2=1", "Link")</f>
        <v/>
      </c>
    </row>
    <row r="1735">
      <c r="A1735" t="inlineStr">
        <is>
          <t>EMD-60135</t>
        </is>
      </c>
      <c r="B1735" t="inlineStr">
        <is>
          <t>non-amyloid</t>
        </is>
      </c>
      <c r="C1735" t="n">
        <v>4.25</v>
      </c>
      <c r="D1735" t="n">
        <v>27.3</v>
      </c>
      <c r="E1735" t="n">
        <v>-166.66</v>
      </c>
      <c r="F1735" t="inlineStr">
        <is>
          <t>C1</t>
        </is>
      </c>
      <c r="G1735" t="inlineStr">
        <is>
          <t>27.43376442</t>
        </is>
      </c>
      <c r="H1735" t="n">
        <v>-166.5417286</v>
      </c>
      <c r="I1735" t="inlineStr">
        <is>
          <t>C1</t>
        </is>
      </c>
      <c r="J1735" t="n">
        <v>0.1383313564263127</v>
      </c>
      <c r="K1735" t="inlineStr"/>
      <c r="L1735" t="n">
        <v>0.950628927</v>
      </c>
      <c r="M1735" t="n">
        <v>0.956413608</v>
      </c>
      <c r="N1735" t="inlineStr">
        <is>
          <t>Yes</t>
        </is>
      </c>
      <c r="O1735" t="inlineStr">
        <is>
          <t>equal</t>
        </is>
      </c>
      <c r="P1735" t="inlineStr">
        <is>
          <t>deposited</t>
        </is>
      </c>
      <c r="Q1735" t="inlineStr"/>
      <c r="R1735" t="inlineStr"/>
      <c r="S1735">
        <f>HYPERLINK("https://helical-indexing-hi3d.streamlit.app/?emd_id=emd-60135&amp;rise=27.43376442&amp;twist=-166.5417286&amp;csym=1&amp;rise2=27.3&amp;twist2=-166.66&amp;csym2=1", "Link")</f>
        <v/>
      </c>
    </row>
    <row r="1736">
      <c r="A1736" t="inlineStr">
        <is>
          <t>EMD-39904</t>
        </is>
      </c>
      <c r="B1736" t="inlineStr">
        <is>
          <t>non-amyloid</t>
        </is>
      </c>
      <c r="C1736" t="n">
        <v>4.28</v>
      </c>
      <c r="D1736" t="n">
        <v>27.71</v>
      </c>
      <c r="E1736" t="n">
        <v>-166.8</v>
      </c>
      <c r="F1736" t="inlineStr">
        <is>
          <t>C1</t>
        </is>
      </c>
      <c r="G1736" t="inlineStr">
        <is>
          <t>27.72427791</t>
        </is>
      </c>
      <c r="H1736" t="n">
        <v>-166.5289417</v>
      </c>
      <c r="I1736" t="inlineStr">
        <is>
          <t>C1</t>
        </is>
      </c>
      <c r="J1736" t="n">
        <v>0.1549277638866208</v>
      </c>
      <c r="K1736" t="inlineStr"/>
      <c r="L1736" t="n">
        <v>0.9552864720000001</v>
      </c>
      <c r="M1736" t="n">
        <v>0.947224968</v>
      </c>
      <c r="N1736" t="inlineStr">
        <is>
          <t>Yes</t>
        </is>
      </c>
      <c r="O1736" t="inlineStr">
        <is>
          <t>equal</t>
        </is>
      </c>
      <c r="P1736" t="inlineStr">
        <is>
          <t>deposited</t>
        </is>
      </c>
      <c r="Q1736" t="inlineStr"/>
      <c r="R1736" t="inlineStr"/>
      <c r="S1736">
        <f>HYPERLINK("https://helical-indexing-hi3d.streamlit.app/?emd_id=emd-39904&amp;rise=27.72427791&amp;twist=-166.5289417&amp;csym=1&amp;rise2=27.71&amp;twist2=-166.8&amp;csym2=1", "Link")</f>
        <v/>
      </c>
    </row>
    <row r="1737">
      <c r="A1737" t="inlineStr">
        <is>
          <t>EMD-39906</t>
        </is>
      </c>
      <c r="B1737" t="inlineStr">
        <is>
          <t>non-amyloid</t>
        </is>
      </c>
      <c r="C1737" t="n">
        <v>3.02</v>
      </c>
      <c r="D1737" t="n">
        <v>27.71</v>
      </c>
      <c r="E1737" t="n">
        <v>-166.8</v>
      </c>
      <c r="F1737" t="inlineStr">
        <is>
          <t>C1</t>
        </is>
      </c>
      <c r="G1737" t="inlineStr">
        <is>
          <t>27.70336768</t>
        </is>
      </c>
      <c r="H1737" t="n">
        <v>-166.4997851</v>
      </c>
      <c r="I1737" t="inlineStr">
        <is>
          <t>C1</t>
        </is>
      </c>
      <c r="J1737" t="n">
        <v>0.1807116462293622</v>
      </c>
      <c r="K1737" t="inlineStr"/>
      <c r="L1737" t="n">
        <v>0.9619253719999999</v>
      </c>
      <c r="M1737" t="n">
        <v>0.942029319</v>
      </c>
      <c r="N1737" t="inlineStr">
        <is>
          <t>Yes</t>
        </is>
      </c>
      <c r="O1737" t="inlineStr">
        <is>
          <t>equal</t>
        </is>
      </c>
      <c r="P1737" t="inlineStr">
        <is>
          <t>deposited</t>
        </is>
      </c>
      <c r="Q1737" t="inlineStr"/>
      <c r="R1737" t="inlineStr"/>
      <c r="S1737">
        <f>HYPERLINK("https://helical-indexing-hi3d.streamlit.app/?emd_id=emd-39906&amp;rise=27.70336768&amp;twist=-166.4997851&amp;csym=1&amp;rise2=27.71&amp;twist2=-166.8&amp;csym2=1", "Link")</f>
        <v/>
      </c>
    </row>
    <row r="1738">
      <c r="A1738" t="inlineStr">
        <is>
          <t>EMD-46565</t>
        </is>
      </c>
      <c r="B1738" t="inlineStr">
        <is>
          <t>non-amyloid</t>
        </is>
      </c>
      <c r="C1738" t="n">
        <v>2.9</v>
      </c>
      <c r="D1738" t="n">
        <v>16</v>
      </c>
      <c r="E1738" t="n">
        <v>56</v>
      </c>
      <c r="F1738" t="inlineStr">
        <is>
          <t>C1</t>
        </is>
      </c>
      <c r="G1738" t="inlineStr">
        <is>
          <t>15.66331094</t>
        </is>
      </c>
      <c r="H1738" t="n">
        <v>54.89271619</v>
      </c>
      <c r="I1738" t="inlineStr">
        <is>
          <t>C1</t>
        </is>
      </c>
      <c r="J1738" t="n">
        <v>0.5718904155343508</v>
      </c>
      <c r="K1738" t="inlineStr"/>
      <c r="L1738" t="n">
        <v>0.724275117</v>
      </c>
      <c r="M1738" t="n">
        <v>0.887453017</v>
      </c>
      <c r="N1738" t="inlineStr">
        <is>
          <t>Yes</t>
        </is>
      </c>
      <c r="O1738" t="inlineStr">
        <is>
          <t>improve</t>
        </is>
      </c>
      <c r="P1738" t="inlineStr">
        <is>
          <t>adjusted decimals</t>
        </is>
      </c>
      <c r="Q1738" t="inlineStr"/>
      <c r="R1738" t="inlineStr"/>
      <c r="S1738">
        <f>HYPERLINK("https://helical-indexing-hi3d.streamlit.app/?emd_id=emd-46565&amp;rise=15.66331094&amp;twist=54.89271619&amp;csym=1&amp;rise2=16.0&amp;twist2=56.0&amp;csym2=1", "Link")</f>
        <v/>
      </c>
    </row>
    <row r="1739">
      <c r="A1739" t="inlineStr">
        <is>
          <t>EMD-19731</t>
        </is>
      </c>
      <c r="B1739" t="inlineStr">
        <is>
          <t>non-amyloid</t>
        </is>
      </c>
      <c r="C1739" t="n">
        <v>3.1</v>
      </c>
      <c r="D1739" t="n">
        <v>4.328</v>
      </c>
      <c r="E1739" t="n">
        <v>23.27</v>
      </c>
      <c r="F1739" t="inlineStr">
        <is>
          <t>C2</t>
        </is>
      </c>
      <c r="G1739" t="inlineStr">
        <is>
          <t>4.326879293</t>
        </is>
      </c>
      <c r="H1739" t="n">
        <v>23.28736212</v>
      </c>
      <c r="I1739" t="inlineStr">
        <is>
          <t>C2</t>
        </is>
      </c>
      <c r="J1739" t="n">
        <v>0.009275892000000001</v>
      </c>
      <c r="K1739" t="inlineStr"/>
      <c r="L1739" t="n">
        <v>0.786374487</v>
      </c>
      <c r="M1739" t="n">
        <v>0.866687336</v>
      </c>
      <c r="N1739" t="inlineStr">
        <is>
          <t>Yes</t>
        </is>
      </c>
      <c r="O1739" t="inlineStr">
        <is>
          <t>equal</t>
        </is>
      </c>
      <c r="P1739" t="inlineStr">
        <is>
          <t>deposited</t>
        </is>
      </c>
      <c r="Q1739" t="inlineStr"/>
      <c r="R1739" t="inlineStr"/>
      <c r="S1739">
        <f>HYPERLINK("https://helical-indexing-hi3d.streamlit.app/?emd_id=emd-19731&amp;rise=4.326879293&amp;twist=23.28736212&amp;csym=2&amp;rise2=4.328&amp;twist2=23.27&amp;csym2=2", "Link")</f>
        <v/>
      </c>
    </row>
    <row r="1740">
      <c r="A1740" t="inlineStr">
        <is>
          <t>EMD-19732</t>
        </is>
      </c>
      <c r="B1740" t="inlineStr">
        <is>
          <t>non-amyloid</t>
        </is>
      </c>
      <c r="C1740" t="n">
        <v>3.79</v>
      </c>
      <c r="D1740" t="n">
        <v>5.821</v>
      </c>
      <c r="E1740" t="n">
        <v>20.78</v>
      </c>
      <c r="F1740" t="inlineStr">
        <is>
          <t>C3</t>
        </is>
      </c>
      <c r="G1740" t="inlineStr">
        <is>
          <t>5.813917981</t>
        </is>
      </c>
      <c r="H1740" t="n">
        <v>20.77513946</v>
      </c>
      <c r="I1740" t="inlineStr">
        <is>
          <t>C3</t>
        </is>
      </c>
      <c r="J1740" t="n">
        <v>0.007563894</v>
      </c>
      <c r="K1740" t="inlineStr"/>
      <c r="L1740" t="n">
        <v>0.900678878</v>
      </c>
      <c r="M1740" t="n">
        <v>0.898665699</v>
      </c>
      <c r="N1740" t="inlineStr">
        <is>
          <t>Yes</t>
        </is>
      </c>
      <c r="O1740" t="inlineStr">
        <is>
          <t>equal</t>
        </is>
      </c>
      <c r="P1740" t="inlineStr">
        <is>
          <t>deposited</t>
        </is>
      </c>
      <c r="Q1740" t="inlineStr"/>
      <c r="R1740" t="inlineStr"/>
      <c r="S1740">
        <f>HYPERLINK("https://helical-indexing-hi3d.streamlit.app/?emd_id=emd-19732&amp;rise=5.813917981&amp;twist=20.77513946&amp;csym=3&amp;rise2=5.821&amp;twist2=20.78&amp;csym2=3", "Link")</f>
        <v/>
      </c>
    </row>
    <row r="1741">
      <c r="A1741" t="inlineStr">
        <is>
          <t>EMD-46946</t>
        </is>
      </c>
      <c r="B1741" t="inlineStr">
        <is>
          <t>non-amyloid</t>
        </is>
      </c>
      <c r="C1741" t="n">
        <v>3.3</v>
      </c>
      <c r="D1741" t="n">
        <v>16</v>
      </c>
      <c r="E1741" t="n">
        <v>178</v>
      </c>
      <c r="F1741" t="inlineStr">
        <is>
          <t>C1</t>
        </is>
      </c>
      <c r="G1741" t="inlineStr">
        <is>
          <t>16.22003716</t>
        </is>
      </c>
      <c r="H1741" t="n">
        <v>178.2919664</v>
      </c>
      <c r="I1741" t="inlineStr">
        <is>
          <t>C1</t>
        </is>
      </c>
      <c r="J1741" t="n">
        <v>0.2336345391149968</v>
      </c>
      <c r="K1741" t="inlineStr"/>
      <c r="L1741" t="n">
        <v>0.77139043</v>
      </c>
      <c r="M1741" t="n">
        <v>0.857062617</v>
      </c>
      <c r="N1741" t="inlineStr">
        <is>
          <t>Yes</t>
        </is>
      </c>
      <c r="O1741" t="inlineStr">
        <is>
          <t>equal</t>
        </is>
      </c>
      <c r="P1741" t="inlineStr">
        <is>
          <t>deposited</t>
        </is>
      </c>
      <c r="Q1741" t="inlineStr"/>
      <c r="R1741" t="inlineStr"/>
      <c r="S1741">
        <f>HYPERLINK("https://helical-indexing-hi3d.streamlit.app/?emd_id=emd-46946&amp;rise=16.22003716&amp;twist=178.2919664&amp;csym=1&amp;rise2=16.0&amp;twist2=178.0&amp;csym2=1", "Link")</f>
        <v/>
      </c>
    </row>
    <row r="1742">
      <c r="A1742" t="inlineStr">
        <is>
          <t>EMD-51188</t>
        </is>
      </c>
      <c r="B1742" t="inlineStr">
        <is>
          <t>non-amyloid</t>
        </is>
      </c>
      <c r="C1742" t="n">
        <v>3.2</v>
      </c>
      <c r="D1742" t="n">
        <v>27.3</v>
      </c>
      <c r="E1742" t="n">
        <v>56.13</v>
      </c>
      <c r="F1742" t="inlineStr">
        <is>
          <t>C1</t>
        </is>
      </c>
      <c r="G1742" t="inlineStr">
        <is>
          <t>27.84310139</t>
        </is>
      </c>
      <c r="H1742" t="n">
        <v>55.83341759</v>
      </c>
      <c r="I1742" t="inlineStr">
        <is>
          <t>C1</t>
        </is>
      </c>
      <c r="J1742" t="n">
        <v>0.55937152</v>
      </c>
      <c r="K1742" t="inlineStr"/>
      <c r="L1742" t="n">
        <v>0.607513294</v>
      </c>
      <c r="M1742" t="n">
        <v>0.594480258</v>
      </c>
      <c r="N1742" t="inlineStr">
        <is>
          <t>Yes</t>
        </is>
      </c>
      <c r="O1742" t="inlineStr">
        <is>
          <t>equal</t>
        </is>
      </c>
      <c r="P1742" t="inlineStr">
        <is>
          <t>deposited</t>
        </is>
      </c>
      <c r="Q1742" t="inlineStr"/>
      <c r="R1742" t="inlineStr"/>
      <c r="S1742">
        <f>HYPERLINK("https://helical-indexing-hi3d.streamlit.app/?emd_id=emd-51188&amp;rise=27.84310139&amp;twist=55.83341759&amp;csym=1&amp;rise2=27.3&amp;twist2=56.13&amp;csym2=1", "Link")</f>
        <v/>
      </c>
    </row>
    <row r="1743">
      <c r="A1743" t="inlineStr">
        <is>
          <t>EMD-51185</t>
        </is>
      </c>
      <c r="B1743" t="inlineStr">
        <is>
          <t>non-amyloid</t>
        </is>
      </c>
      <c r="C1743" t="n">
        <v>4</v>
      </c>
      <c r="D1743" t="n">
        <v>23.87</v>
      </c>
      <c r="E1743" t="n">
        <v>57.53</v>
      </c>
      <c r="F1743" t="inlineStr">
        <is>
          <t>C2</t>
        </is>
      </c>
      <c r="G1743" t="inlineStr">
        <is>
          <t>24.01737527</t>
        </is>
      </c>
      <c r="H1743" t="n">
        <v>58.33042501</v>
      </c>
      <c r="I1743" t="inlineStr">
        <is>
          <t>C1</t>
        </is>
      </c>
      <c r="J1743" t="n">
        <v>0.3870679909568086</v>
      </c>
      <c r="K1743" t="inlineStr"/>
      <c r="L1743" t="n">
        <v>0.666206891</v>
      </c>
      <c r="M1743" t="n">
        <v>0.6673198930000001</v>
      </c>
      <c r="N1743" t="inlineStr">
        <is>
          <t>Yes</t>
        </is>
      </c>
      <c r="O1743" t="inlineStr">
        <is>
          <t>equal</t>
        </is>
      </c>
      <c r="P1743" t="inlineStr">
        <is>
          <t>deposited</t>
        </is>
      </c>
      <c r="Q1743" t="inlineStr"/>
      <c r="R1743" t="inlineStr"/>
      <c r="S1743">
        <f>HYPERLINK("https://helical-indexing-hi3d.streamlit.app/?emd_id=emd-51185&amp;rise=24.01737527&amp;twist=58.33042501&amp;csym=1&amp;rise2=23.87&amp;twist2=57.53&amp;csym2=2", "Link")</f>
        <v/>
      </c>
    </row>
    <row r="1744">
      <c r="A1744" t="inlineStr">
        <is>
          <t>EMD-43577</t>
        </is>
      </c>
      <c r="B1744" t="inlineStr">
        <is>
          <t>non-amyloid</t>
        </is>
      </c>
      <c r="C1744" t="n">
        <v>2.6</v>
      </c>
      <c r="D1744" t="n">
        <v>9.1</v>
      </c>
      <c r="E1744" t="n">
        <v>157.5</v>
      </c>
      <c r="F1744" t="inlineStr">
        <is>
          <t>C1</t>
        </is>
      </c>
      <c r="G1744" t="inlineStr">
        <is>
          <t>9.129235226</t>
        </is>
      </c>
      <c r="H1744" t="n">
        <v>157.5000001</v>
      </c>
      <c r="I1744" t="inlineStr">
        <is>
          <t>C1</t>
        </is>
      </c>
      <c r="J1744" t="n">
        <v>0.029235226</v>
      </c>
      <c r="K1744" t="inlineStr"/>
      <c r="L1744" t="n">
        <v>0.934776539</v>
      </c>
      <c r="M1744" t="n">
        <v>0.966618593</v>
      </c>
      <c r="N1744" t="inlineStr">
        <is>
          <t>Yes</t>
        </is>
      </c>
      <c r="O1744" t="inlineStr">
        <is>
          <t>equal</t>
        </is>
      </c>
      <c r="P1744" t="inlineStr">
        <is>
          <t>deposited</t>
        </is>
      </c>
      <c r="Q1744" t="inlineStr"/>
      <c r="R1744" t="inlineStr"/>
      <c r="S1744">
        <f>HYPERLINK("https://helical-indexing-hi3d.streamlit.app/?emd_id=emd-43577&amp;rise=9.129235226&amp;twist=157.5000001&amp;csym=1&amp;rise2=9.1&amp;twist2=157.5&amp;csym2=1", "Link")</f>
        <v/>
      </c>
    </row>
    <row r="1745">
      <c r="A1745" t="inlineStr">
        <is>
          <t>EMD-43580</t>
        </is>
      </c>
      <c r="B1745" t="inlineStr">
        <is>
          <t>non-amyloid</t>
        </is>
      </c>
      <c r="C1745" t="n">
        <v>2.7</v>
      </c>
      <c r="D1745" t="n">
        <v>9.300000000000001</v>
      </c>
      <c r="E1745" t="n">
        <v>157.5</v>
      </c>
      <c r="F1745" t="inlineStr">
        <is>
          <t>C1</t>
        </is>
      </c>
      <c r="G1745" t="inlineStr">
        <is>
          <t>9.283122603</t>
        </is>
      </c>
      <c r="H1745" t="n">
        <v>157.4596785</v>
      </c>
      <c r="I1745" t="inlineStr">
        <is>
          <t>C1</t>
        </is>
      </c>
      <c r="J1745" t="n">
        <v>0.0359890992246736</v>
      </c>
      <c r="K1745" t="inlineStr"/>
      <c r="L1745" t="n">
        <v>0.906607495</v>
      </c>
      <c r="M1745" t="n">
        <v>0.966643475</v>
      </c>
      <c r="N1745" t="inlineStr">
        <is>
          <t>Yes</t>
        </is>
      </c>
      <c r="O1745" t="inlineStr">
        <is>
          <t>equal</t>
        </is>
      </c>
      <c r="P1745" t="inlineStr">
        <is>
          <t>deposited</t>
        </is>
      </c>
      <c r="Q1745" t="inlineStr"/>
      <c r="R1745" t="inlineStr"/>
      <c r="S1745">
        <f>HYPERLINK("https://helical-indexing-hi3d.streamlit.app/?emd_id=emd-43580&amp;rise=9.283122603&amp;twist=157.4596785&amp;csym=1&amp;rise2=9.3&amp;twist2=157.5&amp;csym2=1", "Link")</f>
        <v/>
      </c>
    </row>
    <row r="1746">
      <c r="A1746" t="inlineStr">
        <is>
          <t>EMD-51189</t>
        </is>
      </c>
      <c r="B1746" t="inlineStr">
        <is>
          <t>non-amyloid</t>
        </is>
      </c>
      <c r="C1746" t="n">
        <v>3.04</v>
      </c>
      <c r="D1746" t="n">
        <v>27.3</v>
      </c>
      <c r="E1746" t="n">
        <v>56.13</v>
      </c>
      <c r="F1746" t="inlineStr">
        <is>
          <t>C1</t>
        </is>
      </c>
      <c r="G1746" t="inlineStr">
        <is>
          <t>27.95157892</t>
        </is>
      </c>
      <c r="H1746" t="n">
        <v>55.71644442</v>
      </c>
      <c r="I1746" t="inlineStr">
        <is>
          <t>C1</t>
        </is>
      </c>
      <c r="J1746" t="n">
        <v>0.6765668489245313</v>
      </c>
      <c r="K1746" t="inlineStr"/>
      <c r="L1746" t="n">
        <v>0.568441769</v>
      </c>
      <c r="M1746" t="n">
        <v>0.560622174</v>
      </c>
      <c r="N1746" t="inlineStr">
        <is>
          <t>Yes</t>
        </is>
      </c>
      <c r="O1746" t="inlineStr">
        <is>
          <t>equal</t>
        </is>
      </c>
      <c r="P1746" t="inlineStr">
        <is>
          <t>deposited</t>
        </is>
      </c>
      <c r="Q1746" t="inlineStr"/>
      <c r="R1746" t="inlineStr"/>
      <c r="S1746">
        <f>HYPERLINK("https://helical-indexing-hi3d.streamlit.app/?emd_id=emd-51189&amp;rise=27.95157892&amp;twist=55.71644442&amp;csym=1&amp;rise2=27.3&amp;twist2=56.13&amp;csym2=1", "Link")</f>
        <v/>
      </c>
    </row>
    <row r="1747">
      <c r="A1747" t="inlineStr">
        <is>
          <t>EMD-43581</t>
        </is>
      </c>
      <c r="B1747" t="inlineStr">
        <is>
          <t>non-amyloid</t>
        </is>
      </c>
      <c r="C1747" t="n">
        <v>2.6</v>
      </c>
      <c r="D1747" t="n">
        <v>16.1</v>
      </c>
      <c r="E1747" t="n">
        <v>-41.2</v>
      </c>
      <c r="F1747" t="inlineStr">
        <is>
          <t>C2</t>
        </is>
      </c>
      <c r="G1747" t="inlineStr">
        <is>
          <t>16.13989895</t>
        </is>
      </c>
      <c r="H1747" t="n">
        <v>-41.16232835</v>
      </c>
      <c r="I1747" t="inlineStr">
        <is>
          <t>C2</t>
        </is>
      </c>
      <c r="J1747" t="n">
        <v>0.048369609802081</v>
      </c>
      <c r="K1747" t="inlineStr"/>
      <c r="L1747" t="n">
        <v>0.936344579</v>
      </c>
      <c r="M1747" t="n">
        <v>0.9698679100000001</v>
      </c>
      <c r="N1747" t="inlineStr">
        <is>
          <t>Yes</t>
        </is>
      </c>
      <c r="O1747" t="inlineStr">
        <is>
          <t>equal</t>
        </is>
      </c>
      <c r="P1747" t="inlineStr">
        <is>
          <t>deposited</t>
        </is>
      </c>
      <c r="Q1747" t="inlineStr"/>
      <c r="R1747" t="inlineStr"/>
      <c r="S1747">
        <f>HYPERLINK("https://helical-indexing-hi3d.streamlit.app/?emd_id=emd-43581&amp;rise=16.13989895&amp;twist=-41.16232835&amp;csym=2&amp;rise2=16.1&amp;twist2=-41.2&amp;csym2=2", "Link")</f>
        <v/>
      </c>
    </row>
    <row r="1748">
      <c r="A1748" t="inlineStr">
        <is>
          <t>EMD-48478</t>
        </is>
      </c>
      <c r="B1748" t="inlineStr">
        <is>
          <t>non-amyloid</t>
        </is>
      </c>
      <c r="C1748" t="n">
        <v>3.5</v>
      </c>
      <c r="D1748" t="n">
        <v>13.366</v>
      </c>
      <c r="E1748" t="n">
        <v>28.094</v>
      </c>
      <c r="F1748" t="inlineStr">
        <is>
          <t>C5</t>
        </is>
      </c>
      <c r="G1748" t="inlineStr">
        <is>
          <t>13.35581046</t>
        </is>
      </c>
      <c r="H1748" t="n">
        <v>28.10183035</v>
      </c>
      <c r="I1748" t="inlineStr">
        <is>
          <t>C5</t>
        </is>
      </c>
      <c r="J1748" t="n">
        <v>0.0105557866634705</v>
      </c>
      <c r="K1748" t="inlineStr"/>
      <c r="L1748" t="n">
        <v>0.866581067</v>
      </c>
      <c r="M1748" t="n">
        <v>0.866500763</v>
      </c>
      <c r="N1748" t="inlineStr">
        <is>
          <t>Yes</t>
        </is>
      </c>
      <c r="O1748" t="inlineStr">
        <is>
          <t>equal</t>
        </is>
      </c>
      <c r="P1748" t="inlineStr">
        <is>
          <t>deposited</t>
        </is>
      </c>
      <c r="Q1748" t="inlineStr"/>
      <c r="R1748" t="inlineStr"/>
      <c r="S1748">
        <f>HYPERLINK("https://helical-indexing-hi3d.streamlit.app/?emd_id=emd-48478&amp;rise=13.35581046&amp;twist=28.10183035&amp;csym=5&amp;rise2=13.366&amp;twist2=28.094&amp;csym2=5", "Link")</f>
        <v/>
      </c>
    </row>
    <row r="1749">
      <c r="A1749" t="inlineStr">
        <is>
          <t>EMD-61322</t>
        </is>
      </c>
      <c r="B1749" t="inlineStr">
        <is>
          <t>amyloid</t>
        </is>
      </c>
      <c r="C1749" t="n">
        <v>3.18</v>
      </c>
      <c r="D1749" t="n">
        <v>2.397</v>
      </c>
      <c r="E1749" t="n">
        <v>179.602</v>
      </c>
      <c r="F1749" t="inlineStr">
        <is>
          <t>C1</t>
        </is>
      </c>
      <c r="G1749" t="inlineStr">
        <is>
          <t>2.393333309</t>
        </is>
      </c>
      <c r="H1749" t="n">
        <v>179.6078608</v>
      </c>
      <c r="I1749" t="inlineStr">
        <is>
          <t>C1</t>
        </is>
      </c>
      <c r="J1749" t="n">
        <v>0.004304178</v>
      </c>
      <c r="K1749" t="inlineStr"/>
      <c r="L1749" t="n">
        <v>0.855034336</v>
      </c>
      <c r="M1749" t="n">
        <v>0.854144672</v>
      </c>
      <c r="N1749" t="inlineStr">
        <is>
          <t>Yes</t>
        </is>
      </c>
      <c r="O1749" t="inlineStr">
        <is>
          <t>equal</t>
        </is>
      </c>
      <c r="P1749" t="inlineStr">
        <is>
          <t>deposited</t>
        </is>
      </c>
      <c r="Q1749" t="inlineStr"/>
      <c r="R1749" t="inlineStr"/>
      <c r="S1749">
        <f>HYPERLINK("https://helical-indexing-hi3d.streamlit.app/?emd_id=emd-61322&amp;rise=2.393333309&amp;twist=179.6078608&amp;csym=1&amp;rise2=2.397&amp;twist2=179.602&amp;csym2=1", "Link")</f>
        <v/>
      </c>
    </row>
    <row r="1750">
      <c r="A1750" t="inlineStr">
        <is>
          <t>EMD-19761</t>
        </is>
      </c>
      <c r="B1750" t="inlineStr">
        <is>
          <t>non-amyloid</t>
        </is>
      </c>
      <c r="C1750" t="n">
        <v>4.2</v>
      </c>
      <c r="D1750" t="n">
        <v>15.4</v>
      </c>
      <c r="E1750" t="n">
        <v>59.2</v>
      </c>
      <c r="F1750" t="inlineStr">
        <is>
          <t>C1</t>
        </is>
      </c>
      <c r="G1750" t="inlineStr">
        <is>
          <t>15.33945869</t>
        </is>
      </c>
      <c r="H1750" t="n">
        <v>59.2912584</v>
      </c>
      <c r="I1750" t="inlineStr">
        <is>
          <t>C1</t>
        </is>
      </c>
      <c r="J1750" t="n">
        <v>0.072017004</v>
      </c>
      <c r="K1750" t="inlineStr"/>
      <c r="L1750" t="n">
        <v>0.926547538</v>
      </c>
      <c r="M1750" t="n">
        <v>0.926525775</v>
      </c>
      <c r="N1750" t="inlineStr">
        <is>
          <t>Yes</t>
        </is>
      </c>
      <c r="O1750" t="inlineStr">
        <is>
          <t>equal</t>
        </is>
      </c>
      <c r="P1750" t="inlineStr">
        <is>
          <t>deposited</t>
        </is>
      </c>
      <c r="Q1750" t="inlineStr"/>
      <c r="R1750" t="inlineStr"/>
      <c r="S1750">
        <f>HYPERLINK("https://helical-indexing-hi3d.streamlit.app/?emd_id=emd-19761&amp;rise=15.33945869&amp;twist=59.2912584&amp;csym=1&amp;rise2=15.4&amp;twist2=59.2&amp;csym2=1", "Link")</f>
        <v/>
      </c>
    </row>
    <row r="1751">
      <c r="A1751" t="inlineStr">
        <is>
          <t>EMD-61321</t>
        </is>
      </c>
      <c r="B1751" t="inlineStr">
        <is>
          <t>amyloid</t>
        </is>
      </c>
      <c r="C1751" t="n">
        <v>3.39</v>
      </c>
      <c r="D1751" t="n">
        <v>4.82</v>
      </c>
      <c r="E1751" t="n">
        <v>-1.91</v>
      </c>
      <c r="F1751" t="inlineStr">
        <is>
          <t>C1</t>
        </is>
      </c>
      <c r="G1751" t="inlineStr">
        <is>
          <t>4.84882214</t>
        </is>
      </c>
      <c r="H1751" t="n">
        <v>-1.926739298</v>
      </c>
      <c r="I1751" t="inlineStr">
        <is>
          <t>C1</t>
        </is>
      </c>
      <c r="J1751" t="n">
        <v>0.02970869619497</v>
      </c>
      <c r="K1751" t="inlineStr"/>
      <c r="L1751" t="n">
        <v>0.861027473</v>
      </c>
      <c r="M1751" t="n">
        <v>0.866588699</v>
      </c>
      <c r="N1751" t="inlineStr">
        <is>
          <t>Yes</t>
        </is>
      </c>
      <c r="O1751" t="inlineStr">
        <is>
          <t>equal</t>
        </is>
      </c>
      <c r="P1751" t="inlineStr">
        <is>
          <t>deposited</t>
        </is>
      </c>
      <c r="Q1751" t="inlineStr"/>
      <c r="R1751" t="inlineStr"/>
      <c r="S1751">
        <f>HYPERLINK("https://helical-indexing-hi3d.streamlit.app/?emd_id=emd-61321&amp;rise=4.84882214&amp;twist=-1.926739298&amp;csym=1&amp;rise2=4.82&amp;twist2=-1.91&amp;csym2=1", "Link")</f>
        <v/>
      </c>
    </row>
    <row r="1752">
      <c r="A1752" t="inlineStr">
        <is>
          <t>EMD-51187</t>
        </is>
      </c>
      <c r="B1752" t="inlineStr">
        <is>
          <t>non-amyloid</t>
        </is>
      </c>
      <c r="C1752" t="n">
        <v>3.08</v>
      </c>
      <c r="D1752" t="n">
        <v>27.3</v>
      </c>
      <c r="E1752" t="n">
        <v>56.13</v>
      </c>
      <c r="F1752" t="inlineStr">
        <is>
          <t>C1</t>
        </is>
      </c>
      <c r="G1752" t="inlineStr">
        <is>
          <t>28.01581448</t>
        </is>
      </c>
      <c r="H1752" t="n">
        <v>55.43928752</v>
      </c>
      <c r="I1752" t="inlineStr">
        <is>
          <t>C1</t>
        </is>
      </c>
      <c r="J1752" t="n">
        <v>0.7780930826284732</v>
      </c>
      <c r="K1752" t="inlineStr"/>
      <c r="L1752" t="n">
        <v>0.57137945</v>
      </c>
      <c r="M1752" t="n">
        <v>0.570675415</v>
      </c>
      <c r="N1752" t="inlineStr">
        <is>
          <t>Yes</t>
        </is>
      </c>
      <c r="O1752" t="inlineStr">
        <is>
          <t>equal</t>
        </is>
      </c>
      <c r="P1752" t="inlineStr">
        <is>
          <t>deposited</t>
        </is>
      </c>
      <c r="Q1752" t="inlineStr"/>
      <c r="R1752" t="inlineStr"/>
      <c r="S1752">
        <f>HYPERLINK("https://helical-indexing-hi3d.streamlit.app/?emd_id=emd-51187&amp;rise=28.01581448&amp;twist=55.43928752&amp;csym=1&amp;rise2=27.3&amp;twist2=56.13&amp;csym2=1", "Link")</f>
        <v/>
      </c>
    </row>
    <row r="1753">
      <c r="A1753" t="inlineStr">
        <is>
          <t>EMD-51186</t>
        </is>
      </c>
      <c r="B1753" t="inlineStr">
        <is>
          <t>non-amyloid</t>
        </is>
      </c>
      <c r="C1753" t="n">
        <v>3.6</v>
      </c>
      <c r="D1753" t="n">
        <v>24.55</v>
      </c>
      <c r="E1753" t="n">
        <v>57.27</v>
      </c>
      <c r="F1753" t="inlineStr">
        <is>
          <t>C2</t>
        </is>
      </c>
      <c r="G1753" t="inlineStr">
        <is>
          <t>24.98586668</t>
        </is>
      </c>
      <c r="H1753" t="n">
        <v>58.02399235</v>
      </c>
      <c r="I1753" t="inlineStr">
        <is>
          <t>C1</t>
        </is>
      </c>
      <c r="J1753" t="n">
        <v>0.5527554960008415</v>
      </c>
      <c r="K1753" t="inlineStr"/>
      <c r="L1753" t="n">
        <v>0.601237771</v>
      </c>
      <c r="M1753" t="n">
        <v>0.608164748</v>
      </c>
      <c r="N1753" t="inlineStr">
        <is>
          <t>Yes</t>
        </is>
      </c>
      <c r="O1753" t="inlineStr">
        <is>
          <t>equal</t>
        </is>
      </c>
      <c r="P1753" t="inlineStr">
        <is>
          <t>deposited</t>
        </is>
      </c>
      <c r="Q1753" t="inlineStr"/>
      <c r="R1753" t="inlineStr"/>
      <c r="S1753">
        <f>HYPERLINK("https://helical-indexing-hi3d.streamlit.app/?emd_id=emd-51186&amp;rise=24.98586668&amp;twist=58.02399235&amp;csym=1&amp;rise2=24.55&amp;twist2=57.27&amp;csym2=2", "Link")</f>
        <v/>
      </c>
    </row>
    <row r="1754">
      <c r="A1754" t="inlineStr">
        <is>
          <t>EMD-43579</t>
        </is>
      </c>
      <c r="B1754" t="inlineStr">
        <is>
          <t>non-amyloid</t>
        </is>
      </c>
      <c r="C1754" t="n">
        <v>2.5</v>
      </c>
      <c r="D1754" t="n">
        <v>16.1</v>
      </c>
      <c r="E1754" t="n">
        <v>-41.1</v>
      </c>
      <c r="F1754" t="inlineStr">
        <is>
          <t>C2</t>
        </is>
      </c>
      <c r="G1754" t="inlineStr">
        <is>
          <t>16.0484825</t>
        </is>
      </c>
      <c r="H1754" t="n">
        <v>-41.07057658</v>
      </c>
      <c r="I1754" t="inlineStr">
        <is>
          <t>C2</t>
        </is>
      </c>
      <c r="J1754" t="n">
        <v>0.055322899</v>
      </c>
      <c r="K1754" t="inlineStr"/>
      <c r="L1754" t="n">
        <v>0.923965838</v>
      </c>
      <c r="M1754" t="n">
        <v>0.968749938</v>
      </c>
      <c r="N1754" t="inlineStr">
        <is>
          <t>Yes</t>
        </is>
      </c>
      <c r="O1754" t="inlineStr">
        <is>
          <t>equal</t>
        </is>
      </c>
      <c r="P1754" t="inlineStr">
        <is>
          <t>deposited</t>
        </is>
      </c>
      <c r="Q1754" t="inlineStr"/>
      <c r="R1754" t="inlineStr"/>
      <c r="S1754">
        <f>HYPERLINK("https://helical-indexing-hi3d.streamlit.app/?emd_id=emd-43579&amp;rise=16.0484825&amp;twist=-41.07057658&amp;csym=2&amp;rise2=16.1&amp;twist2=-41.1&amp;csym2=2", "Link")</f>
        <v/>
      </c>
    </row>
    <row r="1755">
      <c r="A1755" t="inlineStr">
        <is>
          <t>EMD-46870</t>
        </is>
      </c>
      <c r="B1755" t="inlineStr">
        <is>
          <t>amyloid</t>
        </is>
      </c>
      <c r="C1755" t="n">
        <v>3.1</v>
      </c>
      <c r="D1755" t="n">
        <v>2.375</v>
      </c>
      <c r="E1755" t="n">
        <v>179.5</v>
      </c>
      <c r="F1755" t="inlineStr">
        <is>
          <t>C1</t>
        </is>
      </c>
      <c r="G1755" t="inlineStr">
        <is>
          <t>2.384970952</t>
        </is>
      </c>
      <c r="H1755" t="n">
        <v>179.4999989</v>
      </c>
      <c r="I1755" t="inlineStr">
        <is>
          <t>C1</t>
        </is>
      </c>
      <c r="J1755" t="n">
        <v>0.009970952</v>
      </c>
      <c r="K1755" t="inlineStr"/>
      <c r="L1755" t="n">
        <v>0.964835417</v>
      </c>
      <c r="M1755" t="n">
        <v>0.927892392</v>
      </c>
      <c r="N1755" t="inlineStr">
        <is>
          <t>Yes</t>
        </is>
      </c>
      <c r="O1755" t="inlineStr">
        <is>
          <t>equal</t>
        </is>
      </c>
      <c r="P1755" t="inlineStr">
        <is>
          <t>deposited</t>
        </is>
      </c>
      <c r="Q1755" t="inlineStr"/>
      <c r="R1755" t="inlineStr"/>
      <c r="S1755">
        <f>HYPERLINK("https://helical-indexing-hi3d.streamlit.app/?emd_id=emd-46870&amp;rise=2.384970952&amp;twist=179.4999989&amp;csym=1&amp;rise2=2.375&amp;twist2=179.5&amp;csym2=1", "Link")</f>
        <v/>
      </c>
    </row>
    <row r="1756">
      <c r="A1756" t="inlineStr">
        <is>
          <t>EMD-46911</t>
        </is>
      </c>
      <c r="B1756" t="inlineStr">
        <is>
          <t>amyloid</t>
        </is>
      </c>
      <c r="C1756" t="n">
        <v>3.17</v>
      </c>
      <c r="D1756" t="n">
        <v>4.752</v>
      </c>
      <c r="E1756" t="n">
        <v>-0.86</v>
      </c>
      <c r="F1756" t="inlineStr">
        <is>
          <t>C1</t>
        </is>
      </c>
      <c r="G1756" t="inlineStr">
        <is>
          <t>4.751907396</t>
        </is>
      </c>
      <c r="H1756" t="n">
        <v>-0.8672774049999999</v>
      </c>
      <c r="I1756" t="inlineStr">
        <is>
          <t>C1</t>
        </is>
      </c>
      <c r="J1756" t="n">
        <v>0.005343741</v>
      </c>
      <c r="K1756" t="inlineStr"/>
      <c r="L1756" t="n">
        <v>0.971378838</v>
      </c>
      <c r="M1756" t="n">
        <v>0.970419815</v>
      </c>
      <c r="N1756" t="inlineStr">
        <is>
          <t>Yes</t>
        </is>
      </c>
      <c r="O1756" t="inlineStr">
        <is>
          <t>equal</t>
        </is>
      </c>
      <c r="P1756" t="inlineStr">
        <is>
          <t>deposited</t>
        </is>
      </c>
      <c r="Q1756" t="inlineStr"/>
      <c r="R1756" t="inlineStr"/>
      <c r="S1756">
        <f>HYPERLINK("https://helical-indexing-hi3d.streamlit.app/?emd_id=emd-46911&amp;rise=4.751907396&amp;twist=-0.867277405&amp;csym=1&amp;rise2=4.752&amp;twist2=-0.86&amp;csym2=1", "Link")</f>
        <v/>
      </c>
    </row>
    <row r="1757">
      <c r="A1757" t="inlineStr">
        <is>
          <t>EMD-46885</t>
        </is>
      </c>
      <c r="B1757" t="inlineStr">
        <is>
          <t>amyloid</t>
        </is>
      </c>
      <c r="C1757" t="n">
        <v>3.2</v>
      </c>
      <c r="D1757" t="n">
        <v>4.751</v>
      </c>
      <c r="E1757" t="n">
        <v>-0.859</v>
      </c>
      <c r="F1757" t="inlineStr">
        <is>
          <t>C1</t>
        </is>
      </c>
      <c r="G1757" t="inlineStr">
        <is>
          <t>4.745471944</t>
        </is>
      </c>
      <c r="H1757" t="n">
        <v>-0.869115422</v>
      </c>
      <c r="I1757" t="inlineStr">
        <is>
          <t>C1</t>
        </is>
      </c>
      <c r="J1757" t="n">
        <v>0.008979849999999999</v>
      </c>
      <c r="K1757" t="inlineStr"/>
      <c r="L1757" t="n">
        <v>0.970117252</v>
      </c>
      <c r="M1757" t="n">
        <v>0.96661191</v>
      </c>
      <c r="N1757" t="inlineStr">
        <is>
          <t>Yes</t>
        </is>
      </c>
      <c r="O1757" t="inlineStr">
        <is>
          <t>equal</t>
        </is>
      </c>
      <c r="P1757" t="inlineStr">
        <is>
          <t>deposited</t>
        </is>
      </c>
      <c r="Q1757" t="inlineStr"/>
      <c r="R1757" t="inlineStr"/>
      <c r="S1757">
        <f>HYPERLINK("https://helical-indexing-hi3d.streamlit.app/?emd_id=emd-46885&amp;rise=4.745471944&amp;twist=-0.869115422&amp;csym=1&amp;rise2=4.751&amp;twist2=-0.859&amp;csym2=1", "Link")</f>
        <v/>
      </c>
    </row>
    <row r="1758">
      <c r="A1758" t="inlineStr">
        <is>
          <t>EMD-19168</t>
        </is>
      </c>
      <c r="B1758" t="inlineStr">
        <is>
          <t>non-amyloid</t>
        </is>
      </c>
      <c r="C1758" t="n">
        <v>2.54</v>
      </c>
      <c r="D1758" t="n">
        <v>5.641</v>
      </c>
      <c r="E1758" t="n">
        <v>107.922</v>
      </c>
      <c r="F1758" t="inlineStr">
        <is>
          <t>C1</t>
        </is>
      </c>
      <c r="G1758" t="inlineStr">
        <is>
          <t>5.645462159</t>
        </is>
      </c>
      <c r="H1758" t="n">
        <v>107.8999997</v>
      </c>
      <c r="I1758" t="inlineStr">
        <is>
          <t>C1</t>
        </is>
      </c>
      <c r="J1758" t="n">
        <v>0.0114906256966779</v>
      </c>
      <c r="K1758" t="inlineStr"/>
      <c r="L1758" t="n">
        <v>0.920729383</v>
      </c>
      <c r="M1758" t="n">
        <v>0.9182025029999999</v>
      </c>
      <c r="N1758" t="inlineStr">
        <is>
          <t>Yes</t>
        </is>
      </c>
      <c r="O1758" t="inlineStr">
        <is>
          <t>equal</t>
        </is>
      </c>
      <c r="P1758" t="inlineStr">
        <is>
          <t>deposited</t>
        </is>
      </c>
      <c r="Q1758" t="inlineStr"/>
      <c r="R1758" t="inlineStr"/>
      <c r="S1758">
        <f>HYPERLINK("https://helical-indexing-hi3d.streamlit.app/?emd_id=emd-19168&amp;rise=5.645462159&amp;twist=107.8999997&amp;csym=1&amp;rise2=5.641&amp;twist2=107.922&amp;csym2=1", "Link")</f>
        <v/>
      </c>
    </row>
    <row r="1759">
      <c r="A1759" t="inlineStr">
        <is>
          <t>EMD-19112</t>
        </is>
      </c>
      <c r="B1759" t="inlineStr">
        <is>
          <t>non-amyloid</t>
        </is>
      </c>
      <c r="C1759" t="n">
        <v>2.61</v>
      </c>
      <c r="D1759" t="n">
        <v>5.188</v>
      </c>
      <c r="E1759" t="n">
        <v>106.047</v>
      </c>
      <c r="F1759" t="inlineStr">
        <is>
          <t>C1</t>
        </is>
      </c>
      <c r="G1759" t="inlineStr">
        <is>
          <t>5.174465665</t>
        </is>
      </c>
      <c r="H1759" t="n">
        <v>106.0440419</v>
      </c>
      <c r="I1759" t="inlineStr">
        <is>
          <t>C1</t>
        </is>
      </c>
      <c r="J1759" t="n">
        <v>0.0135812834019237</v>
      </c>
      <c r="K1759" t="inlineStr"/>
      <c r="L1759" t="n">
        <v>0.929353999</v>
      </c>
      <c r="M1759" t="n">
        <v>0.926884632</v>
      </c>
      <c r="N1759" t="inlineStr">
        <is>
          <t>Yes</t>
        </is>
      </c>
      <c r="O1759" t="inlineStr">
        <is>
          <t>equal</t>
        </is>
      </c>
      <c r="P1759" t="inlineStr">
        <is>
          <t>deposited</t>
        </is>
      </c>
      <c r="Q1759" t="inlineStr"/>
      <c r="R1759" t="inlineStr"/>
      <c r="S1759">
        <f>HYPERLINK("https://helical-indexing-hi3d.streamlit.app/?emd_id=emd-19112&amp;rise=5.174465665&amp;twist=106.0440419&amp;csym=1&amp;rise2=5.188&amp;twist2=106.047&amp;csym2=1", "Link")</f>
        <v/>
      </c>
    </row>
    <row r="1760">
      <c r="A1760" t="inlineStr">
        <is>
          <t>EMD-48226</t>
        </is>
      </c>
      <c r="B1760" t="inlineStr">
        <is>
          <t>non-amyloid</t>
        </is>
      </c>
      <c r="C1760" t="n">
        <v>3.22</v>
      </c>
      <c r="D1760" t="n">
        <v>41.77</v>
      </c>
      <c r="E1760" t="n">
        <v>17.9</v>
      </c>
      <c r="F1760" t="inlineStr">
        <is>
          <t>C6</t>
        </is>
      </c>
      <c r="G1760" t="inlineStr">
        <is>
          <t>41.7621863</t>
        </is>
      </c>
      <c r="H1760" t="n">
        <v>17.90623858</v>
      </c>
      <c r="I1760" t="inlineStr">
        <is>
          <t>C6</t>
        </is>
      </c>
      <c r="J1760" t="n">
        <v>0.007897675999999999</v>
      </c>
      <c r="K1760" t="inlineStr"/>
      <c r="L1760" t="n">
        <v>0.940484019</v>
      </c>
      <c r="M1760" t="n">
        <v>0.940523984</v>
      </c>
      <c r="N1760" t="inlineStr">
        <is>
          <t>Yes</t>
        </is>
      </c>
      <c r="O1760" t="inlineStr">
        <is>
          <t>equal</t>
        </is>
      </c>
      <c r="P1760" t="inlineStr">
        <is>
          <t>deposited</t>
        </is>
      </c>
      <c r="Q1760" t="inlineStr"/>
      <c r="R1760" t="inlineStr"/>
      <c r="S1760">
        <f>HYPERLINK("https://helical-indexing-hi3d.streamlit.app/?emd_id=emd-48226&amp;rise=41.7621863&amp;twist=17.90623858&amp;csym=6&amp;rise2=41.77&amp;twist2=17.9&amp;csym2=6", "Link")</f>
        <v/>
      </c>
    </row>
    <row r="1761">
      <c r="A1761" t="inlineStr">
        <is>
          <t>EMD-51935</t>
        </is>
      </c>
      <c r="B1761" t="inlineStr">
        <is>
          <t>non-amyloid</t>
        </is>
      </c>
      <c r="C1761" t="n">
        <v>2.3</v>
      </c>
      <c r="D1761" t="n">
        <v>3.178</v>
      </c>
      <c r="E1761" t="n">
        <v>12.094</v>
      </c>
      <c r="F1761" t="inlineStr">
        <is>
          <t>C2</t>
        </is>
      </c>
      <c r="G1761" t="inlineStr">
        <is>
          <t>3.177702318</t>
        </is>
      </c>
      <c r="H1761" t="n">
        <v>12.09357694</v>
      </c>
      <c r="I1761" t="inlineStr">
        <is>
          <t>C2</t>
        </is>
      </c>
      <c r="J1761" t="n">
        <v>0.000351775</v>
      </c>
      <c r="K1761" t="inlineStr"/>
      <c r="L1761" t="n">
        <v>0.968626089</v>
      </c>
      <c r="M1761" t="n">
        <v>0.968310285</v>
      </c>
      <c r="N1761" t="inlineStr">
        <is>
          <t>Yes</t>
        </is>
      </c>
      <c r="O1761" t="inlineStr">
        <is>
          <t>equal</t>
        </is>
      </c>
      <c r="P1761" t="inlineStr">
        <is>
          <t>deposited</t>
        </is>
      </c>
      <c r="Q1761" t="inlineStr"/>
      <c r="R1761" t="inlineStr"/>
      <c r="S1761">
        <f>HYPERLINK("https://helical-indexing-hi3d.streamlit.app/?emd_id=emd-51935&amp;rise=3.177702318&amp;twist=12.09357694&amp;csym=2&amp;rise2=3.178&amp;twist2=12.094&amp;csym2=2", "Link")</f>
        <v/>
      </c>
    </row>
    <row r="1762">
      <c r="A1762" t="inlineStr">
        <is>
          <t>EMD-43087</t>
        </is>
      </c>
      <c r="B1762" t="inlineStr">
        <is>
          <t>non-amyloid</t>
        </is>
      </c>
      <c r="C1762" t="n">
        <v>3.58</v>
      </c>
      <c r="D1762" t="n">
        <v>28</v>
      </c>
      <c r="E1762" t="n">
        <v>-167</v>
      </c>
      <c r="F1762" t="inlineStr">
        <is>
          <t>C1</t>
        </is>
      </c>
      <c r="G1762" t="inlineStr">
        <is>
          <t>28.2613481</t>
        </is>
      </c>
      <c r="H1762" t="n">
        <v>-166.5495649</v>
      </c>
      <c r="I1762" t="inlineStr">
        <is>
          <t>C1</t>
        </is>
      </c>
      <c r="J1762" t="n">
        <v>0.3043036388992281</v>
      </c>
      <c r="K1762" t="inlineStr"/>
      <c r="L1762" t="n">
        <v>0.889479997</v>
      </c>
      <c r="M1762" t="n">
        <v>0.939188321</v>
      </c>
      <c r="N1762" t="inlineStr">
        <is>
          <t>Yes</t>
        </is>
      </c>
      <c r="O1762" t="inlineStr">
        <is>
          <t>equal</t>
        </is>
      </c>
      <c r="P1762" t="inlineStr">
        <is>
          <t>deposited</t>
        </is>
      </c>
      <c r="Q1762" t="inlineStr"/>
      <c r="R1762" t="inlineStr"/>
      <c r="S1762">
        <f>HYPERLINK("https://helical-indexing-hi3d.streamlit.app/?emd_id=emd-43087&amp;rise=28.2613481&amp;twist=-166.5495649&amp;csym=1&amp;rise2=28.0&amp;twist2=-167.0&amp;csym2=1", "Link")</f>
        <v/>
      </c>
    </row>
    <row r="1763">
      <c r="A1763" t="inlineStr">
        <is>
          <t>EMD-42886</t>
        </is>
      </c>
      <c r="B1763" t="inlineStr">
        <is>
          <t>amyloid</t>
        </is>
      </c>
      <c r="C1763" t="n">
        <v>3</v>
      </c>
      <c r="D1763" t="n">
        <v>2.39</v>
      </c>
      <c r="E1763" t="n">
        <v>179.43</v>
      </c>
      <c r="F1763" t="inlineStr">
        <is>
          <t>C1</t>
        </is>
      </c>
      <c r="G1763" t="inlineStr">
        <is>
          <t>2.393333317</t>
        </is>
      </c>
      <c r="H1763" t="n">
        <v>-179.4497644</v>
      </c>
      <c r="I1763" t="inlineStr">
        <is>
          <t>C1</t>
        </is>
      </c>
      <c r="J1763" t="n">
        <v>0.2998613398892968</v>
      </c>
      <c r="K1763" t="inlineStr"/>
      <c r="L1763" t="n">
        <v>0.566791204</v>
      </c>
      <c r="M1763" t="n">
        <v>0.8858120229999999</v>
      </c>
      <c r="N1763" t="inlineStr">
        <is>
          <t>Yes</t>
        </is>
      </c>
      <c r="O1763" t="inlineStr">
        <is>
          <t>improve</t>
        </is>
      </c>
      <c r="P1763" t="inlineStr">
        <is>
          <t>twist sign</t>
        </is>
      </c>
      <c r="Q1763" t="inlineStr"/>
      <c r="R1763" t="inlineStr"/>
      <c r="S1763">
        <f>HYPERLINK("https://helical-indexing-hi3d.streamlit.app/?emd_id=emd-42886&amp;rise=2.393333317&amp;twist=-179.4497644&amp;csym=1&amp;rise2=2.39&amp;twist2=179.43&amp;csym2=1", "Link")</f>
        <v/>
      </c>
    </row>
    <row r="1764">
      <c r="A1764" t="inlineStr">
        <is>
          <t>EMD-51884</t>
        </is>
      </c>
      <c r="B1764" t="inlineStr">
        <is>
          <t>amyloid</t>
        </is>
      </c>
      <c r="C1764" t="n">
        <v>2.48</v>
      </c>
      <c r="D1764" t="n">
        <v>2.43</v>
      </c>
      <c r="E1764" t="n">
        <v>179.474</v>
      </c>
      <c r="F1764" t="inlineStr">
        <is>
          <t>C1</t>
        </is>
      </c>
      <c r="G1764" t="inlineStr">
        <is>
          <t>2.424726913</t>
        </is>
      </c>
      <c r="H1764" t="n">
        <v>179.4762583</v>
      </c>
      <c r="I1764" t="inlineStr">
        <is>
          <t>C1</t>
        </is>
      </c>
      <c r="J1764" t="n">
        <v>0.005333926</v>
      </c>
      <c r="K1764" t="inlineStr"/>
      <c r="L1764" t="n">
        <v>0.944969237</v>
      </c>
      <c r="M1764" t="n">
        <v>0.965028491</v>
      </c>
      <c r="N1764" t="inlineStr">
        <is>
          <t>Yes</t>
        </is>
      </c>
      <c r="O1764" t="inlineStr">
        <is>
          <t>equal</t>
        </is>
      </c>
      <c r="P1764" t="inlineStr">
        <is>
          <t>deposited</t>
        </is>
      </c>
      <c r="Q1764" t="inlineStr"/>
      <c r="R1764" t="inlineStr"/>
      <c r="S1764">
        <f>HYPERLINK("https://helical-indexing-hi3d.streamlit.app/?emd_id=emd-51884&amp;rise=2.424726913&amp;twist=179.4762583&amp;csym=1&amp;rise2=2.43&amp;twist2=179.474&amp;csym2=1", "Link")</f>
        <v/>
      </c>
    </row>
    <row r="1765">
      <c r="A1765" t="inlineStr">
        <is>
          <t>EMD-51886</t>
        </is>
      </c>
      <c r="B1765" t="inlineStr">
        <is>
          <t>amyloid</t>
        </is>
      </c>
      <c r="C1765" t="n">
        <v>2.72</v>
      </c>
      <c r="D1765" t="n">
        <v>2.42</v>
      </c>
      <c r="E1765" t="n">
        <v>179.393</v>
      </c>
      <c r="F1765" t="inlineStr">
        <is>
          <t>C1</t>
        </is>
      </c>
      <c r="G1765" t="inlineStr">
        <is>
          <t>2.430541967</t>
        </is>
      </c>
      <c r="H1765" t="n">
        <v>179.3851401</v>
      </c>
      <c r="I1765" t="inlineStr">
        <is>
          <t>C1</t>
        </is>
      </c>
      <c r="J1765" t="n">
        <v>0.0109084222337658</v>
      </c>
      <c r="K1765" t="inlineStr"/>
      <c r="L1765" t="n">
        <v>0.939020587</v>
      </c>
      <c r="M1765" t="n">
        <v>0.959532541</v>
      </c>
      <c r="N1765" t="inlineStr">
        <is>
          <t>Yes</t>
        </is>
      </c>
      <c r="O1765" t="inlineStr">
        <is>
          <t>equal</t>
        </is>
      </c>
      <c r="P1765" t="inlineStr">
        <is>
          <t>deposited</t>
        </is>
      </c>
      <c r="Q1765" t="inlineStr"/>
      <c r="R1765" t="inlineStr"/>
      <c r="S1765">
        <f>HYPERLINK("https://helical-indexing-hi3d.streamlit.app/?emd_id=emd-51886&amp;rise=2.430541967&amp;twist=179.3851401&amp;csym=1&amp;rise2=2.42&amp;twist2=179.393&amp;csym2=1", "Link")</f>
        <v/>
      </c>
    </row>
    <row r="1766">
      <c r="A1766" t="inlineStr">
        <is>
          <t>EMD-50089</t>
        </is>
      </c>
      <c r="B1766" t="inlineStr">
        <is>
          <t>non-amyloid</t>
        </is>
      </c>
      <c r="C1766" t="n">
        <v>2.9</v>
      </c>
      <c r="D1766" t="n">
        <v>17.09</v>
      </c>
      <c r="E1766" t="n">
        <v>33.24</v>
      </c>
      <c r="F1766" t="inlineStr">
        <is>
          <t>C6</t>
        </is>
      </c>
      <c r="G1766" t="inlineStr">
        <is>
          <t>17.08093441</t>
        </is>
      </c>
      <c r="H1766" t="n">
        <v>-26.76012722</v>
      </c>
      <c r="I1766" t="inlineStr">
        <is>
          <t>C6</t>
        </is>
      </c>
      <c r="J1766" t="n">
        <v>0.00906593</v>
      </c>
      <c r="K1766" t="inlineStr"/>
      <c r="L1766" t="n">
        <v>0.466385118</v>
      </c>
      <c r="M1766" t="n">
        <v>0.409058988</v>
      </c>
      <c r="N1766" t="inlineStr">
        <is>
          <t>Yes</t>
        </is>
      </c>
      <c r="O1766" t="inlineStr">
        <is>
          <t>equal</t>
        </is>
      </c>
      <c r="P1766" t="inlineStr">
        <is>
          <t>deposited</t>
        </is>
      </c>
      <c r="Q1766" t="inlineStr"/>
      <c r="R1766" t="inlineStr"/>
      <c r="S1766">
        <f>HYPERLINK("https://helical-indexing-hi3d.streamlit.app/?emd_id=emd-50089&amp;rise=17.08093441&amp;twist=-26.76012722&amp;csym=6&amp;rise2=17.09&amp;twist2=33.24&amp;csym2=6", "Link")</f>
        <v/>
      </c>
    </row>
    <row r="1767">
      <c r="A1767" t="inlineStr">
        <is>
          <t>EMD-42930</t>
        </is>
      </c>
      <c r="B1767" t="inlineStr">
        <is>
          <t>non-amyloid</t>
        </is>
      </c>
      <c r="C1767" t="n">
        <v>2.95</v>
      </c>
      <c r="D1767" t="n">
        <v>3.203</v>
      </c>
      <c r="E1767" t="n">
        <v>21.18</v>
      </c>
      <c r="F1767" t="inlineStr">
        <is>
          <t>C1</t>
        </is>
      </c>
      <c r="G1767" t="inlineStr">
        <is>
          <t>3.202154478</t>
        </is>
      </c>
      <c r="H1767" t="n">
        <v>21.17904523</v>
      </c>
      <c r="I1767" t="inlineStr">
        <is>
          <t>C1</t>
        </is>
      </c>
      <c r="J1767" t="n">
        <v>0.00105389</v>
      </c>
      <c r="K1767" t="inlineStr"/>
      <c r="L1767" t="n">
        <v>0.97570828</v>
      </c>
      <c r="M1767" t="n">
        <v>0.975555141</v>
      </c>
      <c r="N1767" t="inlineStr">
        <is>
          <t>Yes</t>
        </is>
      </c>
      <c r="O1767" t="inlineStr">
        <is>
          <t>equal</t>
        </is>
      </c>
      <c r="P1767" t="inlineStr">
        <is>
          <t>deposited</t>
        </is>
      </c>
      <c r="Q1767" t="inlineStr"/>
      <c r="R1767" t="inlineStr"/>
      <c r="S1767">
        <f>HYPERLINK("https://helical-indexing-hi3d.streamlit.app/?emd_id=emd-42930&amp;rise=3.202154478&amp;twist=21.17904523&amp;csym=1&amp;rise2=3.203&amp;twist2=21.18&amp;csym2=1", "Link")</f>
        <v/>
      </c>
    </row>
    <row r="1768">
      <c r="A1768" t="inlineStr">
        <is>
          <t>EMD-45464</t>
        </is>
      </c>
      <c r="B1768" t="inlineStr">
        <is>
          <t>amyloid</t>
        </is>
      </c>
      <c r="C1768" t="n">
        <v>3.2</v>
      </c>
      <c r="D1768" t="n">
        <v>4.76</v>
      </c>
      <c r="E1768" t="n">
        <v>-1.35</v>
      </c>
      <c r="F1768" t="inlineStr">
        <is>
          <t>C1</t>
        </is>
      </c>
      <c r="G1768" t="inlineStr">
        <is>
          <t>4.76000148</t>
        </is>
      </c>
      <c r="H1768" t="n">
        <v>-1.359304467</v>
      </c>
      <c r="I1768" t="inlineStr">
        <is>
          <t>C1</t>
        </is>
      </c>
      <c r="J1768" t="n">
        <v>0.004434547</v>
      </c>
      <c r="K1768" t="inlineStr"/>
      <c r="L1768" t="n">
        <v>0.81503788</v>
      </c>
      <c r="M1768" t="n">
        <v>0.8149772709999999</v>
      </c>
      <c r="N1768" t="inlineStr">
        <is>
          <t>Yes</t>
        </is>
      </c>
      <c r="O1768" t="inlineStr">
        <is>
          <t>equal</t>
        </is>
      </c>
      <c r="P1768" t="inlineStr">
        <is>
          <t>deposited</t>
        </is>
      </c>
      <c r="Q1768" t="inlineStr"/>
      <c r="R1768" t="inlineStr"/>
      <c r="S1768">
        <f>HYPERLINK("https://helical-indexing-hi3d.streamlit.app/?emd_id=emd-45464&amp;rise=4.76000148&amp;twist=-1.359304467&amp;csym=1&amp;rise2=4.76&amp;twist2=-1.35&amp;csym2=1", "Link")</f>
        <v/>
      </c>
    </row>
    <row r="1769">
      <c r="A1769" t="inlineStr">
        <is>
          <t>EMD-45465</t>
        </is>
      </c>
      <c r="B1769" t="inlineStr">
        <is>
          <t>amyloid</t>
        </is>
      </c>
      <c r="C1769" t="n">
        <v>3.3</v>
      </c>
      <c r="D1769" t="n">
        <v>4.76</v>
      </c>
      <c r="E1769" t="n">
        <v>-1.42</v>
      </c>
      <c r="F1769" t="inlineStr">
        <is>
          <t>C1</t>
        </is>
      </c>
      <c r="G1769" t="inlineStr">
        <is>
          <t>4.760241647</t>
        </is>
      </c>
      <c r="H1769" t="n">
        <v>-1.432219268</v>
      </c>
      <c r="I1769" t="inlineStr">
        <is>
          <t>C1</t>
        </is>
      </c>
      <c r="J1769" t="n">
        <v>0.006621588</v>
      </c>
      <c r="K1769" t="inlineStr"/>
      <c r="L1769" t="n">
        <v>0.8059029049999999</v>
      </c>
      <c r="M1769" t="n">
        <v>0.80579393</v>
      </c>
      <c r="N1769" t="inlineStr">
        <is>
          <t>Yes</t>
        </is>
      </c>
      <c r="O1769" t="inlineStr">
        <is>
          <t>equal</t>
        </is>
      </c>
      <c r="P1769" t="inlineStr">
        <is>
          <t>deposited</t>
        </is>
      </c>
      <c r="Q1769" t="inlineStr"/>
      <c r="R1769" t="inlineStr"/>
      <c r="S1769">
        <f>HYPERLINK("https://helical-indexing-hi3d.streamlit.app/?emd_id=emd-45465&amp;rise=4.760241647&amp;twist=-1.432219268&amp;csym=1&amp;rise2=4.76&amp;twist2=-1.42&amp;csym2=1", "Link")</f>
        <v/>
      </c>
    </row>
    <row r="1770">
      <c r="A1770" t="inlineStr">
        <is>
          <t>EMD-42931</t>
        </is>
      </c>
      <c r="B1770" t="inlineStr">
        <is>
          <t>non-amyloid</t>
        </is>
      </c>
      <c r="C1770" t="n">
        <v>3.01</v>
      </c>
      <c r="D1770" t="n">
        <v>3.028</v>
      </c>
      <c r="E1770" t="n">
        <v>20.047</v>
      </c>
      <c r="F1770" t="inlineStr">
        <is>
          <t>C1</t>
        </is>
      </c>
      <c r="G1770" t="inlineStr">
        <is>
          <t>3.028872815</t>
        </is>
      </c>
      <c r="H1770" t="n">
        <v>20.03123131</v>
      </c>
      <c r="I1770" t="inlineStr">
        <is>
          <t>C1</t>
        </is>
      </c>
      <c r="J1770" t="n">
        <v>0.009864998999999999</v>
      </c>
      <c r="K1770" t="inlineStr"/>
      <c r="L1770" t="n">
        <v>0.886718611</v>
      </c>
      <c r="M1770" t="n">
        <v>0.973366492</v>
      </c>
      <c r="N1770" t="inlineStr">
        <is>
          <t>Yes</t>
        </is>
      </c>
      <c r="O1770" t="inlineStr">
        <is>
          <t>equal</t>
        </is>
      </c>
      <c r="P1770" t="inlineStr">
        <is>
          <t>deposited</t>
        </is>
      </c>
      <c r="Q1770" t="inlineStr"/>
      <c r="R1770" t="inlineStr"/>
      <c r="S1770">
        <f>HYPERLINK("https://helical-indexing-hi3d.streamlit.app/?emd_id=emd-42931&amp;rise=3.028872815&amp;twist=20.03123131&amp;csym=1&amp;rise2=3.028&amp;twist2=20.047&amp;csym2=1", "Link")</f>
        <v/>
      </c>
    </row>
    <row r="1771">
      <c r="A1771" t="inlineStr">
        <is>
          <t>EMD-42922</t>
        </is>
      </c>
      <c r="B1771" t="inlineStr">
        <is>
          <t>non-amyloid</t>
        </is>
      </c>
      <c r="C1771" t="n">
        <v>3.53</v>
      </c>
      <c r="D1771" t="n">
        <v>3.04</v>
      </c>
      <c r="E1771" t="n">
        <v>20</v>
      </c>
      <c r="F1771" t="inlineStr">
        <is>
          <t>C1</t>
        </is>
      </c>
      <c r="G1771" t="inlineStr">
        <is>
          <t>3.034874377</t>
        </is>
      </c>
      <c r="H1771" t="n">
        <v>20.0000168</v>
      </c>
      <c r="I1771" t="inlineStr">
        <is>
          <t>C1</t>
        </is>
      </c>
      <c r="J1771" t="n">
        <v>0.005125629</v>
      </c>
      <c r="K1771" t="inlineStr"/>
      <c r="L1771" t="n">
        <v>0.968700141</v>
      </c>
      <c r="M1771" t="n">
        <v>0.968884259</v>
      </c>
      <c r="N1771" t="inlineStr">
        <is>
          <t>Yes</t>
        </is>
      </c>
      <c r="O1771" t="inlineStr">
        <is>
          <t>equal</t>
        </is>
      </c>
      <c r="P1771" t="inlineStr">
        <is>
          <t>deposited</t>
        </is>
      </c>
      <c r="Q1771" t="inlineStr"/>
      <c r="R1771" t="inlineStr"/>
      <c r="S1771">
        <f>HYPERLINK("https://helical-indexing-hi3d.streamlit.app/?emd_id=emd-42922&amp;rise=3.034874377&amp;twist=20.0000168&amp;csym=1&amp;rise2=3.04&amp;twist2=20.0&amp;csym2=1", "Link")</f>
        <v/>
      </c>
    </row>
    <row r="1772">
      <c r="A1772" t="inlineStr">
        <is>
          <t>EMD-42926</t>
        </is>
      </c>
      <c r="B1772" t="inlineStr">
        <is>
          <t>non-amyloid</t>
        </is>
      </c>
      <c r="C1772" t="n">
        <v>4.27</v>
      </c>
      <c r="D1772" t="n">
        <v>3.15</v>
      </c>
      <c r="E1772" t="n">
        <v>-20.65</v>
      </c>
      <c r="F1772" t="inlineStr">
        <is>
          <t>C1</t>
        </is>
      </c>
      <c r="G1772" t="inlineStr">
        <is>
          <t>3.139495684</t>
        </is>
      </c>
      <c r="H1772" t="n">
        <v>-20.65004795</v>
      </c>
      <c r="I1772" t="inlineStr">
        <is>
          <t>C1</t>
        </is>
      </c>
      <c r="J1772" t="n">
        <v>0.0105043298589538</v>
      </c>
      <c r="K1772" t="inlineStr"/>
      <c r="L1772" t="n">
        <v>0.959200074</v>
      </c>
      <c r="M1772" t="n">
        <v>0.964226653</v>
      </c>
      <c r="N1772" t="inlineStr">
        <is>
          <t>Yes</t>
        </is>
      </c>
      <c r="O1772" t="inlineStr">
        <is>
          <t>equal</t>
        </is>
      </c>
      <c r="P1772" t="inlineStr">
        <is>
          <t>deposited</t>
        </is>
      </c>
      <c r="Q1772" t="inlineStr"/>
      <c r="R1772" t="inlineStr"/>
      <c r="S1772">
        <f>HYPERLINK("https://helical-indexing-hi3d.streamlit.app/?emd_id=emd-42926&amp;rise=3.139495684&amp;twist=-20.65004795&amp;csym=1&amp;rise2=3.15&amp;twist2=-20.65&amp;csym2=1", "Link")</f>
        <v/>
      </c>
    </row>
    <row r="1773">
      <c r="A1773" t="inlineStr">
        <is>
          <t>EMD-42928</t>
        </is>
      </c>
      <c r="B1773" t="inlineStr">
        <is>
          <t>non-amyloid</t>
        </is>
      </c>
      <c r="C1773" t="n">
        <v>4.35</v>
      </c>
      <c r="D1773" t="n">
        <v>3.21</v>
      </c>
      <c r="E1773" t="n">
        <v>21.19</v>
      </c>
      <c r="F1773" t="inlineStr">
        <is>
          <t>C1</t>
        </is>
      </c>
      <c r="G1773" t="inlineStr">
        <is>
          <t>3.205693434</t>
        </is>
      </c>
      <c r="H1773" t="n">
        <v>21.20747544</v>
      </c>
      <c r="I1773" t="inlineStr">
        <is>
          <t>C1</t>
        </is>
      </c>
      <c r="J1773" t="n">
        <v>0.009646010999999999</v>
      </c>
      <c r="K1773" t="inlineStr"/>
      <c r="L1773" t="n">
        <v>0.9700382319999999</v>
      </c>
      <c r="M1773" t="n">
        <v>0.971419776</v>
      </c>
      <c r="N1773" t="inlineStr">
        <is>
          <t>Yes</t>
        </is>
      </c>
      <c r="O1773" t="inlineStr">
        <is>
          <t>equal</t>
        </is>
      </c>
      <c r="P1773" t="inlineStr">
        <is>
          <t>deposited</t>
        </is>
      </c>
      <c r="Q1773" t="inlineStr"/>
      <c r="R1773" t="inlineStr"/>
      <c r="S1773">
        <f>HYPERLINK("https://helical-indexing-hi3d.streamlit.app/?emd_id=emd-42928&amp;rise=3.205693434&amp;twist=21.20747544&amp;csym=1&amp;rise2=3.21&amp;twist2=21.19&amp;csym2=1", "Link")</f>
        <v/>
      </c>
    </row>
    <row r="1774">
      <c r="A1774" t="inlineStr">
        <is>
          <t>EMD-42929</t>
        </is>
      </c>
      <c r="B1774" t="inlineStr">
        <is>
          <t>non-amyloid</t>
        </is>
      </c>
      <c r="C1774" t="n">
        <v>4.35</v>
      </c>
      <c r="D1774" t="n">
        <v>3.14</v>
      </c>
      <c r="E1774" t="n">
        <v>-20.65</v>
      </c>
      <c r="F1774" t="inlineStr">
        <is>
          <t>C1</t>
        </is>
      </c>
      <c r="G1774" t="inlineStr">
        <is>
          <t>3.158183629</t>
        </is>
      </c>
      <c r="H1774" t="n">
        <v>-20.64835571</v>
      </c>
      <c r="I1774" t="inlineStr">
        <is>
          <t>C1</t>
        </is>
      </c>
      <c r="J1774" t="n">
        <v>0.0182009058629082</v>
      </c>
      <c r="K1774" t="inlineStr"/>
      <c r="L1774" t="n">
        <v>0.96773977</v>
      </c>
      <c r="M1774" t="n">
        <v>0.973904103</v>
      </c>
      <c r="N1774" t="inlineStr">
        <is>
          <t>Yes</t>
        </is>
      </c>
      <c r="O1774" t="inlineStr">
        <is>
          <t>equal</t>
        </is>
      </c>
      <c r="P1774" t="inlineStr">
        <is>
          <t>deposited</t>
        </is>
      </c>
      <c r="Q1774" t="inlineStr"/>
      <c r="R1774" t="inlineStr"/>
      <c r="S1774">
        <f>HYPERLINK("https://helical-indexing-hi3d.streamlit.app/?emd_id=emd-42929&amp;rise=3.158183629&amp;twist=-20.64835571&amp;csym=1&amp;rise2=3.14&amp;twist2=-20.65&amp;csym2=1", "Link")</f>
        <v/>
      </c>
    </row>
    <row r="1775">
      <c r="A1775" t="inlineStr">
        <is>
          <t>EMD-42927</t>
        </is>
      </c>
      <c r="B1775" t="inlineStr">
        <is>
          <t>non-amyloid</t>
        </is>
      </c>
      <c r="C1775" t="n">
        <v>4.2</v>
      </c>
      <c r="D1775" t="n">
        <v>3.04</v>
      </c>
      <c r="E1775" t="n">
        <v>20.05</v>
      </c>
      <c r="F1775" t="inlineStr">
        <is>
          <t>C1</t>
        </is>
      </c>
      <c r="G1775" t="inlineStr">
        <is>
          <t>3.034331051</t>
        </is>
      </c>
      <c r="H1775" t="n">
        <v>20.05310628</v>
      </c>
      <c r="I1775" t="inlineStr">
        <is>
          <t>C1</t>
        </is>
      </c>
      <c r="J1775" t="n">
        <v>0.005882227</v>
      </c>
      <c r="K1775" t="inlineStr"/>
      <c r="L1775" t="n">
        <v>0.972174275</v>
      </c>
      <c r="M1775" t="n">
        <v>0.971366608</v>
      </c>
      <c r="N1775" t="inlineStr">
        <is>
          <t>Yes</t>
        </is>
      </c>
      <c r="O1775" t="inlineStr">
        <is>
          <t>equal</t>
        </is>
      </c>
      <c r="P1775" t="inlineStr">
        <is>
          <t>deposited</t>
        </is>
      </c>
      <c r="Q1775" t="inlineStr"/>
      <c r="R1775" t="inlineStr"/>
      <c r="S1775">
        <f>HYPERLINK("https://helical-indexing-hi3d.streamlit.app/?emd_id=emd-42927&amp;rise=3.034331051&amp;twist=20.05310628&amp;csym=1&amp;rise2=3.04&amp;twist2=20.05&amp;csym2=1", "Link")</f>
        <v/>
      </c>
    </row>
    <row r="1776">
      <c r="A1776" t="inlineStr">
        <is>
          <t>EMD-42923</t>
        </is>
      </c>
      <c r="B1776" t="inlineStr">
        <is>
          <t>non-amyloid</t>
        </is>
      </c>
      <c r="C1776" t="n">
        <v>3.5</v>
      </c>
      <c r="D1776" t="n">
        <v>3.22</v>
      </c>
      <c r="E1776" t="n">
        <v>21.15</v>
      </c>
      <c r="F1776" t="inlineStr">
        <is>
          <t>C1</t>
        </is>
      </c>
      <c r="G1776" t="inlineStr">
        <is>
          <t>3.21882874</t>
        </is>
      </c>
      <c r="H1776" t="n">
        <v>21.14733494</v>
      </c>
      <c r="I1776" t="inlineStr">
        <is>
          <t>C1</t>
        </is>
      </c>
      <c r="J1776" t="n">
        <v>0.001574557</v>
      </c>
      <c r="K1776" t="inlineStr"/>
      <c r="L1776" t="n">
        <v>0.969527195</v>
      </c>
      <c r="M1776" t="n">
        <v>0.968712943</v>
      </c>
      <c r="N1776" t="inlineStr">
        <is>
          <t>Yes</t>
        </is>
      </c>
      <c r="O1776" t="inlineStr">
        <is>
          <t>equal</t>
        </is>
      </c>
      <c r="P1776" t="inlineStr">
        <is>
          <t>deposited</t>
        </is>
      </c>
      <c r="Q1776" t="inlineStr"/>
      <c r="R1776" t="inlineStr"/>
      <c r="S1776">
        <f>HYPERLINK("https://helical-indexing-hi3d.streamlit.app/?emd_id=emd-42923&amp;rise=3.21882874&amp;twist=21.14733494&amp;csym=1&amp;rise2=3.22&amp;twist2=21.15&amp;csym2=1", "Link")</f>
        <v/>
      </c>
    </row>
    <row r="1777">
      <c r="A1777" t="inlineStr">
        <is>
          <t>EMD-42925</t>
        </is>
      </c>
      <c r="B1777" t="inlineStr">
        <is>
          <t>non-amyloid</t>
        </is>
      </c>
      <c r="C1777" t="n">
        <v>5.78</v>
      </c>
      <c r="D1777" t="n">
        <v>3.17</v>
      </c>
      <c r="E1777" t="n">
        <v>20.83</v>
      </c>
      <c r="F1777" t="inlineStr">
        <is>
          <t>C1</t>
        </is>
      </c>
      <c r="G1777" t="inlineStr">
        <is>
          <t>3.167399405</t>
        </is>
      </c>
      <c r="H1777" t="n">
        <v>20.83693558</v>
      </c>
      <c r="I1777" t="inlineStr">
        <is>
          <t>C1</t>
        </is>
      </c>
      <c r="J1777" t="n">
        <v>0.004241535</v>
      </c>
      <c r="K1777" t="inlineStr"/>
      <c r="L1777" t="n">
        <v>0.972033996</v>
      </c>
      <c r="M1777" t="n">
        <v>0.972551382</v>
      </c>
      <c r="N1777" t="inlineStr">
        <is>
          <t>Yes</t>
        </is>
      </c>
      <c r="O1777" t="inlineStr">
        <is>
          <t>equal</t>
        </is>
      </c>
      <c r="P1777" t="inlineStr">
        <is>
          <t>deposited</t>
        </is>
      </c>
      <c r="Q1777" t="inlineStr"/>
      <c r="R1777" t="inlineStr"/>
      <c r="S1777">
        <f>HYPERLINK("https://helical-indexing-hi3d.streamlit.app/?emd_id=emd-42925&amp;rise=3.167399405&amp;twist=20.83693558&amp;csym=1&amp;rise2=3.17&amp;twist2=20.83&amp;csym2=1", "Link")</f>
        <v/>
      </c>
    </row>
    <row r="1778">
      <c r="A1778" t="inlineStr">
        <is>
          <t>EMD-50587</t>
        </is>
      </c>
      <c r="B1778" t="inlineStr">
        <is>
          <t>amyloid</t>
        </is>
      </c>
      <c r="C1778" t="n">
        <v>2.64</v>
      </c>
      <c r="D1778" t="n">
        <v>4.88</v>
      </c>
      <c r="E1778" t="n">
        <v>-0.46</v>
      </c>
      <c r="F1778" t="inlineStr">
        <is>
          <t>C1</t>
        </is>
      </c>
      <c r="G1778" t="inlineStr">
        <is>
          <t>4.888866025</t>
        </is>
      </c>
      <c r="H1778" t="n">
        <v>-0.483708009</v>
      </c>
      <c r="I1778" t="inlineStr">
        <is>
          <t>C1</t>
        </is>
      </c>
      <c r="J1778" t="n">
        <v>0.01596489</v>
      </c>
      <c r="K1778" t="inlineStr"/>
      <c r="L1778" t="n">
        <v>0.964203408</v>
      </c>
      <c r="M1778" t="n">
        <v>0.923769963</v>
      </c>
      <c r="N1778" t="inlineStr">
        <is>
          <t>Yes</t>
        </is>
      </c>
      <c r="O1778" t="inlineStr">
        <is>
          <t>equal</t>
        </is>
      </c>
      <c r="P1778" t="inlineStr">
        <is>
          <t>deposited</t>
        </is>
      </c>
      <c r="Q1778" t="inlineStr"/>
      <c r="R1778" t="inlineStr"/>
      <c r="S1778">
        <f>HYPERLINK("https://helical-indexing-hi3d.streamlit.app/?emd_id=emd-50587&amp;rise=4.888866025&amp;twist=-0.483708009&amp;csym=1&amp;rise2=4.88&amp;twist2=-0.46&amp;csym2=1", "Link")</f>
        <v/>
      </c>
    </row>
    <row r="1779">
      <c r="A1779" t="inlineStr">
        <is>
          <t>EMD-18883</t>
        </is>
      </c>
      <c r="B1779" t="inlineStr">
        <is>
          <t>amyloid</t>
        </is>
      </c>
      <c r="C1779" t="n">
        <v>2.8</v>
      </c>
      <c r="D1779" t="n">
        <v>4.78</v>
      </c>
      <c r="E1779" t="n">
        <v>-1.4</v>
      </c>
      <c r="F1779" t="inlineStr">
        <is>
          <t>C1</t>
        </is>
      </c>
      <c r="G1779" t="inlineStr">
        <is>
          <t>4.786666661</t>
        </is>
      </c>
      <c r="H1779" t="n">
        <v>-1.509245294</v>
      </c>
      <c r="I1779" t="inlineStr">
        <is>
          <t>C1</t>
        </is>
      </c>
      <c r="J1779" t="n">
        <v>0.029515129052068</v>
      </c>
      <c r="K1779" t="inlineStr"/>
      <c r="L1779" t="n">
        <v>0.698528558</v>
      </c>
      <c r="M1779" t="n">
        <v>0.69856028</v>
      </c>
      <c r="N1779" t="inlineStr">
        <is>
          <t>Yes</t>
        </is>
      </c>
      <c r="O1779" t="inlineStr">
        <is>
          <t>equal</t>
        </is>
      </c>
      <c r="P1779" t="inlineStr">
        <is>
          <t>deposited</t>
        </is>
      </c>
      <c r="Q1779" t="inlineStr"/>
      <c r="R1779" t="inlineStr"/>
      <c r="S1779">
        <f>HYPERLINK("https://helical-indexing-hi3d.streamlit.app/?emd_id=emd-18883&amp;rise=4.786666661&amp;twist=-1.509245294&amp;csym=1&amp;rise2=4.78&amp;twist2=-1.4&amp;csym2=1", "Link")</f>
        <v/>
      </c>
    </row>
    <row r="1780">
      <c r="A1780" t="inlineStr">
        <is>
          <t>EMD-38069</t>
        </is>
      </c>
      <c r="B1780" t="inlineStr">
        <is>
          <t>amyloid</t>
        </is>
      </c>
      <c r="C1780" t="n">
        <v>3.47</v>
      </c>
      <c r="D1780" t="n">
        <v>4.83</v>
      </c>
      <c r="E1780" t="n">
        <v>-0.702</v>
      </c>
      <c r="F1780" t="inlineStr">
        <is>
          <t>C1</t>
        </is>
      </c>
      <c r="G1780" t="inlineStr">
        <is>
          <t>4.828016525</t>
        </is>
      </c>
      <c r="H1780" t="n">
        <v>-0.713637089</v>
      </c>
      <c r="I1780" t="inlineStr">
        <is>
          <t>C1</t>
        </is>
      </c>
      <c r="J1780" t="n">
        <v>0.006599519</v>
      </c>
      <c r="K1780" t="inlineStr"/>
      <c r="L1780" t="n">
        <v>0.9572983430000001</v>
      </c>
      <c r="M1780" t="n">
        <v>0.95665528</v>
      </c>
      <c r="N1780" t="inlineStr">
        <is>
          <t>Yes</t>
        </is>
      </c>
      <c r="O1780" t="inlineStr">
        <is>
          <t>equal</t>
        </is>
      </c>
      <c r="P1780" t="inlineStr">
        <is>
          <t>deposited</t>
        </is>
      </c>
      <c r="Q1780" t="inlineStr"/>
      <c r="R1780" t="inlineStr"/>
      <c r="S1780">
        <f>HYPERLINK("https://helical-indexing-hi3d.streamlit.app/?emd_id=emd-38069&amp;rise=4.828016525&amp;twist=-0.713637089&amp;csym=1&amp;rise2=4.83&amp;twist2=-0.702&amp;csym2=1", "Link")</f>
        <v/>
      </c>
    </row>
    <row r="1781">
      <c r="A1781" t="inlineStr">
        <is>
          <t>EMD-52014</t>
        </is>
      </c>
      <c r="B1781" t="inlineStr">
        <is>
          <t>amyloid</t>
        </is>
      </c>
      <c r="C1781" t="n">
        <v>3</v>
      </c>
      <c r="D1781" t="n">
        <v>2.38</v>
      </c>
      <c r="E1781" t="n">
        <v>179.5</v>
      </c>
      <c r="F1781" t="inlineStr">
        <is>
          <t>C1</t>
        </is>
      </c>
      <c r="G1781" t="inlineStr">
        <is>
          <t>2.377433634</t>
        </is>
      </c>
      <c r="H1781" t="n">
        <v>179.4999997</v>
      </c>
      <c r="I1781" t="inlineStr">
        <is>
          <t>C1</t>
        </is>
      </c>
      <c r="J1781" t="n">
        <v>0.002566366</v>
      </c>
      <c r="K1781" t="inlineStr"/>
      <c r="L1781" t="n">
        <v>0.911773072</v>
      </c>
      <c r="M1781" t="n">
        <v>0.933519074</v>
      </c>
      <c r="N1781" t="inlineStr">
        <is>
          <t>Yes</t>
        </is>
      </c>
      <c r="O1781" t="inlineStr">
        <is>
          <t>equal</t>
        </is>
      </c>
      <c r="P1781" t="inlineStr">
        <is>
          <t>deposited</t>
        </is>
      </c>
      <c r="Q1781" t="inlineStr"/>
      <c r="R1781" t="inlineStr"/>
      <c r="S1781">
        <f>HYPERLINK("https://helical-indexing-hi3d.streamlit.app/?emd_id=emd-52014&amp;rise=2.377433634&amp;twist=179.4999997&amp;csym=1&amp;rise2=2.38&amp;twist2=179.5&amp;csym2=1", "Link")</f>
        <v/>
      </c>
    </row>
    <row r="1782">
      <c r="A1782" t="inlineStr">
        <is>
          <t>EMD-43830</t>
        </is>
      </c>
      <c r="B1782" t="inlineStr">
        <is>
          <t>non-amyloid</t>
        </is>
      </c>
      <c r="C1782" t="n">
        <v>3.26</v>
      </c>
      <c r="D1782" t="n">
        <v>5.03</v>
      </c>
      <c r="E1782" t="n">
        <v>65.40000000000001</v>
      </c>
      <c r="F1782" t="inlineStr">
        <is>
          <t>C1</t>
        </is>
      </c>
      <c r="G1782" t="inlineStr">
        <is>
          <t>5.040381645</t>
        </is>
      </c>
      <c r="H1782" t="n">
        <v>65.38636543</v>
      </c>
      <c r="I1782" t="inlineStr">
        <is>
          <t>C1</t>
        </is>
      </c>
      <c r="J1782" t="n">
        <v>0.0123543510475426</v>
      </c>
      <c r="K1782" t="inlineStr"/>
      <c r="L1782" t="n">
        <v>0.86171468</v>
      </c>
      <c r="M1782" t="n">
        <v>0.864696262</v>
      </c>
      <c r="N1782" t="inlineStr">
        <is>
          <t>Yes</t>
        </is>
      </c>
      <c r="O1782" t="inlineStr">
        <is>
          <t>equal</t>
        </is>
      </c>
      <c r="P1782" t="inlineStr">
        <is>
          <t>deposited</t>
        </is>
      </c>
      <c r="Q1782" t="inlineStr"/>
      <c r="R1782" t="inlineStr"/>
      <c r="S1782">
        <f>HYPERLINK("https://helical-indexing-hi3d.streamlit.app/?emd_id=emd-43830&amp;rise=5.040381645&amp;twist=65.38636543&amp;csym=1&amp;rise2=5.03&amp;twist2=65.4&amp;csym2=1", "Link")</f>
        <v/>
      </c>
    </row>
    <row r="1783">
      <c r="A1783" t="inlineStr">
        <is>
          <t>EMD-50023</t>
        </is>
      </c>
      <c r="B1783" t="inlineStr">
        <is>
          <t>amyloid</t>
        </is>
      </c>
      <c r="C1783" t="n">
        <v>2.9</v>
      </c>
      <c r="D1783" t="n">
        <v>2.39</v>
      </c>
      <c r="E1783" t="n">
        <v>179.6</v>
      </c>
      <c r="F1783" t="inlineStr">
        <is>
          <t>C1</t>
        </is>
      </c>
      <c r="G1783" t="inlineStr">
        <is>
          <t>2.385513563</t>
        </is>
      </c>
      <c r="H1783" t="n">
        <v>179.569884</v>
      </c>
      <c r="I1783" t="inlineStr">
        <is>
          <t>C1</t>
        </is>
      </c>
      <c r="J1783" t="n">
        <v>0.018339853</v>
      </c>
      <c r="K1783" t="inlineStr"/>
      <c r="L1783" t="n">
        <v>0.796171731</v>
      </c>
      <c r="M1783" t="n">
        <v>0.798367831</v>
      </c>
      <c r="N1783" t="inlineStr">
        <is>
          <t>Yes</t>
        </is>
      </c>
      <c r="O1783" t="inlineStr">
        <is>
          <t>equal</t>
        </is>
      </c>
      <c r="P1783" t="inlineStr">
        <is>
          <t>deposited</t>
        </is>
      </c>
      <c r="Q1783" t="inlineStr"/>
      <c r="R1783" t="inlineStr"/>
      <c r="S1783">
        <f>HYPERLINK("https://helical-indexing-hi3d.streamlit.app/?emd_id=emd-50023&amp;rise=2.385513563&amp;twist=179.569884&amp;csym=1&amp;rise2=2.39&amp;twist2=179.6&amp;csym2=1", "Link")</f>
        <v/>
      </c>
    </row>
    <row r="1784">
      <c r="A1784" t="inlineStr">
        <is>
          <t>EMD-37996</t>
        </is>
      </c>
      <c r="B1784" t="inlineStr">
        <is>
          <t>non-amyloid</t>
        </is>
      </c>
      <c r="C1784" t="n">
        <v>4</v>
      </c>
      <c r="D1784" t="n">
        <v>24.5</v>
      </c>
      <c r="E1784" t="n">
        <v>156.03</v>
      </c>
      <c r="F1784" t="inlineStr">
        <is>
          <t>C1</t>
        </is>
      </c>
      <c r="G1784" t="inlineStr">
        <is>
          <t>24.44235671</t>
        </is>
      </c>
      <c r="H1784" t="n">
        <v>155.9916186</v>
      </c>
      <c r="I1784" t="inlineStr">
        <is>
          <t>C1</t>
        </is>
      </c>
      <c r="J1784" t="n">
        <v>0.05843989</v>
      </c>
      <c r="K1784" t="inlineStr"/>
      <c r="L1784" t="n">
        <v>0.959294326</v>
      </c>
      <c r="M1784" t="n">
        <v>0.96069001</v>
      </c>
      <c r="N1784" t="inlineStr">
        <is>
          <t>Yes</t>
        </is>
      </c>
      <c r="O1784" t="inlineStr">
        <is>
          <t>equal</t>
        </is>
      </c>
      <c r="P1784" t="inlineStr">
        <is>
          <t>deposited</t>
        </is>
      </c>
      <c r="Q1784" t="inlineStr"/>
      <c r="R1784" t="inlineStr"/>
      <c r="S1784">
        <f>HYPERLINK("https://helical-indexing-hi3d.streamlit.app/?emd_id=emd-37996&amp;rise=24.44235671&amp;twist=155.9916186&amp;csym=1&amp;rise2=24.5&amp;twist2=156.03&amp;csym2=1", "Link")</f>
        <v/>
      </c>
    </row>
    <row r="1785">
      <c r="A1785" t="inlineStr">
        <is>
          <t>EMD-47020</t>
        </is>
      </c>
      <c r="B1785" t="inlineStr">
        <is>
          <t>amyloid</t>
        </is>
      </c>
      <c r="C1785" t="n">
        <v>2.8</v>
      </c>
      <c r="D1785" t="n">
        <v>4.779</v>
      </c>
      <c r="E1785" t="n">
        <v>-0.2913</v>
      </c>
      <c r="F1785" t="inlineStr">
        <is>
          <t>C1</t>
        </is>
      </c>
      <c r="G1785" t="inlineStr">
        <is>
          <t>4.785212397</t>
        </is>
      </c>
      <c r="H1785" t="n">
        <v>-0.310453543</v>
      </c>
      <c r="I1785" t="inlineStr">
        <is>
          <t>C1</t>
        </is>
      </c>
      <c r="J1785" t="n">
        <v>0.009573797</v>
      </c>
      <c r="K1785" t="inlineStr"/>
      <c r="L1785" t="n">
        <v>0.957096719</v>
      </c>
      <c r="M1785" t="n">
        <v>0.93718795</v>
      </c>
      <c r="N1785" t="inlineStr">
        <is>
          <t>Yes</t>
        </is>
      </c>
      <c r="O1785" t="inlineStr">
        <is>
          <t>equal</t>
        </is>
      </c>
      <c r="P1785" t="inlineStr">
        <is>
          <t>deposited</t>
        </is>
      </c>
      <c r="Q1785" t="inlineStr"/>
      <c r="R1785" t="inlineStr"/>
      <c r="S1785">
        <f>HYPERLINK("https://helical-indexing-hi3d.streamlit.app/?emd_id=emd-47020&amp;rise=4.785212397&amp;twist=-0.310453543&amp;csym=1&amp;rise2=4.779&amp;twist2=-0.2913&amp;csym2=1", "Link")</f>
        <v/>
      </c>
    </row>
    <row r="1786">
      <c r="A1786" t="inlineStr">
        <is>
          <t>EMD-50318</t>
        </is>
      </c>
      <c r="B1786" t="inlineStr">
        <is>
          <t>non-amyloid</t>
        </is>
      </c>
      <c r="C1786" t="n">
        <v>3.8</v>
      </c>
      <c r="D1786" t="n">
        <v>1.61</v>
      </c>
      <c r="E1786" t="n">
        <v>122.8</v>
      </c>
      <c r="F1786" t="inlineStr">
        <is>
          <t>C1</t>
        </is>
      </c>
      <c r="G1786" t="inlineStr">
        <is>
          <t>1.534842593</t>
        </is>
      </c>
      <c r="H1786" t="n">
        <v>120.9271232</v>
      </c>
      <c r="I1786" t="inlineStr">
        <is>
          <t>C1</t>
        </is>
      </c>
      <c r="J1786" t="n">
        <v>0.3302265128445715</v>
      </c>
      <c r="K1786" t="inlineStr"/>
      <c r="L1786" t="n">
        <v>0.445502769</v>
      </c>
      <c r="M1786" t="n">
        <v>0.426087947</v>
      </c>
      <c r="N1786" t="inlineStr">
        <is>
          <t>Yes</t>
        </is>
      </c>
      <c r="O1786" t="inlineStr">
        <is>
          <t>equal</t>
        </is>
      </c>
      <c r="P1786" t="inlineStr">
        <is>
          <t>deposited</t>
        </is>
      </c>
      <c r="Q1786" t="inlineStr"/>
      <c r="R1786" t="inlineStr"/>
      <c r="S1786">
        <f>HYPERLINK("https://helical-indexing-hi3d.streamlit.app/?emd_id=emd-50318&amp;rise=1.534842593&amp;twist=120.9271232&amp;csym=1&amp;rise2=1.61&amp;twist2=122.8&amp;csym2=1", "Link")</f>
        <v/>
      </c>
    </row>
    <row r="1787">
      <c r="A1787" t="inlineStr">
        <is>
          <t>EMD-47021</t>
        </is>
      </c>
      <c r="B1787" t="inlineStr">
        <is>
          <t>amyloid</t>
        </is>
      </c>
      <c r="C1787" t="n">
        <v>2.8</v>
      </c>
      <c r="D1787" t="n">
        <v>4.779</v>
      </c>
      <c r="E1787" t="n">
        <v>-0.2913</v>
      </c>
      <c r="F1787" t="inlineStr">
        <is>
          <t>C1</t>
        </is>
      </c>
      <c r="G1787" t="inlineStr">
        <is>
          <t>4.785212397</t>
        </is>
      </c>
      <c r="H1787" t="n">
        <v>-0.310453543</v>
      </c>
      <c r="I1787" t="inlineStr">
        <is>
          <t>C1</t>
        </is>
      </c>
      <c r="J1787" t="n">
        <v>0.009573797</v>
      </c>
      <c r="K1787" t="inlineStr"/>
      <c r="L1787" t="n">
        <v>0.957096719</v>
      </c>
      <c r="M1787" t="n">
        <v>0.93718795</v>
      </c>
      <c r="N1787" t="inlineStr">
        <is>
          <t>Yes</t>
        </is>
      </c>
      <c r="O1787" t="inlineStr">
        <is>
          <t>equal</t>
        </is>
      </c>
      <c r="P1787" t="inlineStr">
        <is>
          <t>deposited</t>
        </is>
      </c>
      <c r="Q1787" t="inlineStr"/>
      <c r="R1787" t="inlineStr"/>
      <c r="S1787">
        <f>HYPERLINK("https://helical-indexing-hi3d.streamlit.app/?emd_id=emd-47021&amp;rise=4.785212397&amp;twist=-0.310453543&amp;csym=1&amp;rise2=4.779&amp;twist2=-0.2913&amp;csym2=1", "Link")</f>
        <v/>
      </c>
    </row>
    <row r="1788">
      <c r="A1788" t="inlineStr">
        <is>
          <t>EMD-38892</t>
        </is>
      </c>
      <c r="B1788" t="inlineStr">
        <is>
          <t>non-amyloid</t>
        </is>
      </c>
      <c r="C1788" t="n">
        <v>3.8</v>
      </c>
      <c r="D1788" t="n">
        <v>27.464</v>
      </c>
      <c r="E1788" t="n">
        <v>104.141</v>
      </c>
      <c r="F1788" t="inlineStr">
        <is>
          <t>C1</t>
        </is>
      </c>
      <c r="G1788" t="inlineStr">
        <is>
          <t>27.46508853</t>
        </is>
      </c>
      <c r="H1788" t="n">
        <v>104.1408182</v>
      </c>
      <c r="I1788" t="inlineStr">
        <is>
          <t>C1</t>
        </is>
      </c>
      <c r="J1788" t="n">
        <v>0.001090176</v>
      </c>
      <c r="K1788" t="inlineStr"/>
      <c r="L1788" t="n">
        <v>0.961687347</v>
      </c>
      <c r="M1788" t="n">
        <v>0.961684803</v>
      </c>
      <c r="N1788" t="inlineStr">
        <is>
          <t>Yes</t>
        </is>
      </c>
      <c r="O1788" t="inlineStr">
        <is>
          <t>equal</t>
        </is>
      </c>
      <c r="P1788" t="inlineStr">
        <is>
          <t>deposited</t>
        </is>
      </c>
      <c r="Q1788" t="inlineStr"/>
      <c r="R1788" t="inlineStr"/>
      <c r="S1788">
        <f>HYPERLINK("https://helical-indexing-hi3d.streamlit.app/?emd_id=emd-38892&amp;rise=27.46508853&amp;twist=104.1408182&amp;csym=1&amp;rise2=27.464&amp;twist2=104.141&amp;csym2=1", "Link")</f>
        <v/>
      </c>
    </row>
    <row r="1789">
      <c r="A1789" t="inlineStr">
        <is>
          <t>EMD-38898</t>
        </is>
      </c>
      <c r="B1789" t="inlineStr">
        <is>
          <t>non-amyloid</t>
        </is>
      </c>
      <c r="C1789" t="n">
        <v>2.61</v>
      </c>
      <c r="D1789" t="n">
        <v>11.137</v>
      </c>
      <c r="E1789" t="n">
        <v>102.047</v>
      </c>
      <c r="F1789" t="inlineStr">
        <is>
          <t>C1</t>
        </is>
      </c>
      <c r="G1789" t="inlineStr">
        <is>
          <t>11.13757813</t>
        </is>
      </c>
      <c r="H1789" t="n">
        <v>102.0461391</v>
      </c>
      <c r="I1789" t="inlineStr">
        <is>
          <t>C1</t>
        </is>
      </c>
      <c r="J1789" t="n">
        <v>0.000667824</v>
      </c>
      <c r="K1789" t="inlineStr"/>
      <c r="L1789" t="n">
        <v>0.952321852</v>
      </c>
      <c r="M1789" t="n">
        <v>0.95230274</v>
      </c>
      <c r="N1789" t="inlineStr">
        <is>
          <t>Yes</t>
        </is>
      </c>
      <c r="O1789" t="inlineStr">
        <is>
          <t>equal</t>
        </is>
      </c>
      <c r="P1789" t="inlineStr">
        <is>
          <t>deposited</t>
        </is>
      </c>
      <c r="Q1789" t="inlineStr"/>
      <c r="R1789" t="inlineStr"/>
      <c r="S1789">
        <f>HYPERLINK("https://helical-indexing-hi3d.streamlit.app/?emd_id=emd-38898&amp;rise=11.13757813&amp;twist=102.0461391&amp;csym=1&amp;rise2=11.137&amp;twist2=102.047&amp;csym2=1", "Link")</f>
        <v/>
      </c>
    </row>
    <row r="1790">
      <c r="A1790" t="inlineStr">
        <is>
          <t>EMD-38900</t>
        </is>
      </c>
      <c r="B1790" t="inlineStr">
        <is>
          <t>non-amyloid</t>
        </is>
      </c>
      <c r="C1790" t="n">
        <v>3.46</v>
      </c>
      <c r="D1790" t="n">
        <v>28.016</v>
      </c>
      <c r="E1790" t="n">
        <v>103.969</v>
      </c>
      <c r="F1790" t="inlineStr">
        <is>
          <t>C1</t>
        </is>
      </c>
      <c r="G1790" t="inlineStr">
        <is>
          <t>28.01216045</t>
        </is>
      </c>
      <c r="H1790" t="n">
        <v>103.9685917</v>
      </c>
      <c r="I1790" t="inlineStr">
        <is>
          <t>C1</t>
        </is>
      </c>
      <c r="J1790" t="n">
        <v>0.003842262</v>
      </c>
      <c r="K1790" t="inlineStr"/>
      <c r="L1790" t="n">
        <v>0.961205634</v>
      </c>
      <c r="M1790" t="n">
        <v>0.961105051</v>
      </c>
      <c r="N1790" t="inlineStr">
        <is>
          <t>Yes</t>
        </is>
      </c>
      <c r="O1790" t="inlineStr">
        <is>
          <t>equal</t>
        </is>
      </c>
      <c r="P1790" t="inlineStr">
        <is>
          <t>deposited</t>
        </is>
      </c>
      <c r="Q1790" t="inlineStr"/>
      <c r="R1790" t="inlineStr"/>
      <c r="S1790">
        <f>HYPERLINK("https://helical-indexing-hi3d.streamlit.app/?emd_id=emd-38900&amp;rise=28.01216045&amp;twist=103.9685917&amp;csym=1&amp;rise2=28.016&amp;twist2=103.969&amp;csym2=1", "Link")</f>
        <v/>
      </c>
    </row>
    <row r="1791">
      <c r="A1791" t="inlineStr">
        <is>
          <t>EMD-46937</t>
        </is>
      </c>
      <c r="B1791" t="inlineStr">
        <is>
          <t>amyloid</t>
        </is>
      </c>
      <c r="C1791" t="n">
        <v>3.71</v>
      </c>
      <c r="D1791" t="n">
        <v>2.41</v>
      </c>
      <c r="E1791" t="n">
        <v>179.574</v>
      </c>
      <c r="F1791" t="inlineStr">
        <is>
          <t>C1</t>
        </is>
      </c>
      <c r="G1791" t="inlineStr">
        <is>
          <t>2.412626772</t>
        </is>
      </c>
      <c r="H1791" t="n">
        <v>179.5727263</v>
      </c>
      <c r="I1791" t="inlineStr">
        <is>
          <t>C1</t>
        </is>
      </c>
      <c r="J1791" t="n">
        <v>0.002661929</v>
      </c>
      <c r="K1791" t="inlineStr"/>
      <c r="L1791" t="n">
        <v>0.9667408199999999</v>
      </c>
      <c r="M1791" t="n">
        <v>0.962306587</v>
      </c>
      <c r="N1791" t="inlineStr">
        <is>
          <t>Yes</t>
        </is>
      </c>
      <c r="O1791" t="inlineStr">
        <is>
          <t>equal</t>
        </is>
      </c>
      <c r="P1791" t="inlineStr">
        <is>
          <t>deposited</t>
        </is>
      </c>
      <c r="Q1791" t="inlineStr"/>
      <c r="R1791" t="inlineStr"/>
      <c r="S1791">
        <f>HYPERLINK("https://helical-indexing-hi3d.streamlit.app/?emd_id=emd-46937&amp;rise=2.412626772&amp;twist=179.5727263&amp;csym=1&amp;rise2=2.41&amp;twist2=179.574&amp;csym2=1", "Link")</f>
        <v/>
      </c>
    </row>
    <row r="1792">
      <c r="A1792" t="inlineStr">
        <is>
          <t>EMD-50319</t>
        </is>
      </c>
      <c r="B1792" t="inlineStr">
        <is>
          <t>non-amyloid</t>
        </is>
      </c>
      <c r="C1792" t="n">
        <v>3.8</v>
      </c>
      <c r="D1792" t="n">
        <v>1.61</v>
      </c>
      <c r="E1792" t="n">
        <v>122.8</v>
      </c>
      <c r="F1792" t="inlineStr">
        <is>
          <t>C1</t>
        </is>
      </c>
      <c r="G1792" t="inlineStr">
        <is>
          <t>1.564634333</t>
        </is>
      </c>
      <c r="H1792" t="n">
        <v>122.9201037</v>
      </c>
      <c r="I1792" t="inlineStr">
        <is>
          <t>C1</t>
        </is>
      </c>
      <c r="J1792" t="n">
        <v>0.049961411</v>
      </c>
      <c r="K1792" t="inlineStr"/>
      <c r="L1792" t="n">
        <v>0.662699181</v>
      </c>
      <c r="M1792" t="n">
        <v>0.896195573</v>
      </c>
      <c r="N1792" t="inlineStr">
        <is>
          <t>Yes</t>
        </is>
      </c>
      <c r="O1792" t="inlineStr">
        <is>
          <t>improve</t>
        </is>
      </c>
      <c r="P1792" t="inlineStr">
        <is>
          <t>adjusted decimals</t>
        </is>
      </c>
      <c r="Q1792" t="inlineStr"/>
      <c r="R1792" t="inlineStr"/>
      <c r="S1792">
        <f>HYPERLINK("https://helical-indexing-hi3d.streamlit.app/?emd_id=emd-50319&amp;rise=1.564634333&amp;twist=122.9201037&amp;csym=1&amp;rise2=1.61&amp;twist2=122.8&amp;csym2=1", "Link")</f>
        <v/>
      </c>
    </row>
    <row r="1793">
      <c r="A1793" t="inlineStr">
        <is>
          <t>EMD-18700</t>
        </is>
      </c>
      <c r="B1793" t="inlineStr">
        <is>
          <t>non-amyloid</t>
        </is>
      </c>
      <c r="C1793" t="n">
        <v>2.03</v>
      </c>
      <c r="D1793" t="n">
        <v>5.433</v>
      </c>
      <c r="E1793" t="n">
        <v>107.947</v>
      </c>
      <c r="F1793" t="inlineStr">
        <is>
          <t>C1</t>
        </is>
      </c>
      <c r="G1793" t="inlineStr">
        <is>
          <t>5.435167673</t>
        </is>
      </c>
      <c r="H1793" t="n">
        <v>107.8999998</v>
      </c>
      <c r="I1793" t="inlineStr">
        <is>
          <t>C1</t>
        </is>
      </c>
      <c r="J1793" t="n">
        <v>0.0310861750115823</v>
      </c>
      <c r="K1793" t="inlineStr"/>
      <c r="L1793" t="n">
        <v>0.930511003</v>
      </c>
      <c r="M1793" t="n">
        <v>0.931586617</v>
      </c>
      <c r="N1793" t="inlineStr">
        <is>
          <t>Yes</t>
        </is>
      </c>
      <c r="O1793" t="inlineStr">
        <is>
          <t>equal</t>
        </is>
      </c>
      <c r="P1793" t="inlineStr">
        <is>
          <t>deposited</t>
        </is>
      </c>
      <c r="Q1793" t="inlineStr"/>
      <c r="R1793" t="inlineStr"/>
      <c r="S1793">
        <f>HYPERLINK("https://helical-indexing-hi3d.streamlit.app/?emd_id=emd-18700&amp;rise=5.435167673&amp;twist=107.8999998&amp;csym=1&amp;rise2=5.433&amp;twist2=107.947&amp;csym2=1", "Link")</f>
        <v/>
      </c>
    </row>
    <row r="1794">
      <c r="A1794" t="inlineStr">
        <is>
          <t>EMD-35460</t>
        </is>
      </c>
      <c r="B1794" t="inlineStr">
        <is>
          <t>amyloid</t>
        </is>
      </c>
      <c r="C1794" t="n">
        <v>3.11</v>
      </c>
      <c r="D1794" t="n">
        <v>4.88</v>
      </c>
      <c r="E1794" t="n">
        <v>-1.079</v>
      </c>
      <c r="F1794" t="inlineStr">
        <is>
          <t>C1</t>
        </is>
      </c>
      <c r="G1794" t="inlineStr">
        <is>
          <t>4.887478352</t>
        </is>
      </c>
      <c r="H1794" t="n">
        <v>-1.108895635</v>
      </c>
      <c r="I1794" t="inlineStr">
        <is>
          <t>C1</t>
        </is>
      </c>
      <c r="J1794" t="n">
        <v>0.0111161385949238</v>
      </c>
      <c r="K1794" t="inlineStr"/>
      <c r="L1794" t="n">
        <v>0.915102721</v>
      </c>
      <c r="M1794" t="n">
        <v>0.906029875</v>
      </c>
      <c r="N1794" t="inlineStr">
        <is>
          <t>Yes</t>
        </is>
      </c>
      <c r="O1794" t="inlineStr">
        <is>
          <t>equal</t>
        </is>
      </c>
      <c r="P1794" t="inlineStr">
        <is>
          <t>deposited</t>
        </is>
      </c>
      <c r="Q1794" t="inlineStr"/>
      <c r="R1794" t="inlineStr"/>
      <c r="S1794">
        <f>HYPERLINK("https://helical-indexing-hi3d.streamlit.app/?emd_id=emd-35460&amp;rise=4.887478352&amp;twist=-1.108895635&amp;csym=1&amp;rise2=4.88&amp;twist2=-1.079&amp;csym2=1", "Link")</f>
        <v/>
      </c>
    </row>
    <row r="1795">
      <c r="A1795" t="inlineStr">
        <is>
          <t>EMD-35459</t>
        </is>
      </c>
      <c r="B1795" t="inlineStr">
        <is>
          <t>amyloid</t>
        </is>
      </c>
      <c r="C1795" t="n">
        <v>2.97</v>
      </c>
      <c r="D1795" t="n">
        <v>4.87</v>
      </c>
      <c r="E1795" t="n">
        <v>-1.058</v>
      </c>
      <c r="F1795" t="inlineStr">
        <is>
          <t>C1</t>
        </is>
      </c>
      <c r="G1795" t="inlineStr">
        <is>
          <t>4.869740633</t>
        </is>
      </c>
      <c r="H1795" t="n">
        <v>-1.087983075</v>
      </c>
      <c r="I1795" t="inlineStr">
        <is>
          <t>C1</t>
        </is>
      </c>
      <c r="J1795" t="n">
        <v>0.0102201038284259</v>
      </c>
      <c r="K1795" t="inlineStr"/>
      <c r="L1795" t="n">
        <v>0.917826577</v>
      </c>
      <c r="M1795" t="n">
        <v>0.916438018</v>
      </c>
      <c r="N1795" t="inlineStr">
        <is>
          <t>Yes</t>
        </is>
      </c>
      <c r="O1795" t="inlineStr">
        <is>
          <t>equal</t>
        </is>
      </c>
      <c r="P1795" t="inlineStr">
        <is>
          <t>deposited</t>
        </is>
      </c>
      <c r="Q1795" t="inlineStr"/>
      <c r="R1795" t="inlineStr"/>
      <c r="S1795">
        <f>HYPERLINK("https://helical-indexing-hi3d.streamlit.app/?emd_id=emd-35459&amp;rise=4.869740633&amp;twist=-1.087983075&amp;csym=1&amp;rise2=4.87&amp;twist2=-1.058&amp;csym2=1", "Link")</f>
        <v/>
      </c>
    </row>
    <row r="1796">
      <c r="A1796" t="inlineStr">
        <is>
          <t>EMD-42350</t>
        </is>
      </c>
      <c r="B1796" t="inlineStr">
        <is>
          <t>amyloid</t>
        </is>
      </c>
      <c r="C1796" t="n">
        <v>3.9</v>
      </c>
      <c r="D1796" t="n">
        <v>4.8</v>
      </c>
      <c r="E1796" t="n">
        <v>-1.076</v>
      </c>
      <c r="F1796" t="inlineStr">
        <is>
          <t>C2</t>
        </is>
      </c>
      <c r="G1796" t="inlineStr">
        <is>
          <t>4.74194626</t>
        </is>
      </c>
      <c r="H1796" t="n">
        <v>-1.235328614</v>
      </c>
      <c r="I1796" t="inlineStr">
        <is>
          <t>C2</t>
        </is>
      </c>
      <c r="J1796" t="n">
        <v>0.1349114570634335</v>
      </c>
      <c r="K1796" t="inlineStr"/>
      <c r="L1796" t="n">
        <v>0.841788852</v>
      </c>
      <c r="M1796" t="n">
        <v>0.824770102</v>
      </c>
      <c r="N1796" t="inlineStr">
        <is>
          <t>Yes</t>
        </is>
      </c>
      <c r="O1796" t="inlineStr">
        <is>
          <t>equal</t>
        </is>
      </c>
      <c r="P1796" t="inlineStr">
        <is>
          <t>deposited</t>
        </is>
      </c>
      <c r="Q1796" t="inlineStr"/>
      <c r="R1796" t="inlineStr"/>
      <c r="S1796">
        <f>HYPERLINK("https://helical-indexing-hi3d.streamlit.app/?emd_id=emd-42350&amp;rise=4.74194626&amp;twist=-1.235328614&amp;csym=2&amp;rise2=4.8&amp;twist2=-1.076&amp;csym2=2", "Link")</f>
        <v/>
      </c>
    </row>
    <row r="1797">
      <c r="A1797" t="inlineStr">
        <is>
          <t>EMD-47180</t>
        </is>
      </c>
      <c r="B1797" t="inlineStr">
        <is>
          <t>non-amyloid</t>
        </is>
      </c>
      <c r="C1797" t="n">
        <v>3.3</v>
      </c>
      <c r="D1797" t="n">
        <v>27.557</v>
      </c>
      <c r="E1797" t="n">
        <v>-167.181</v>
      </c>
      <c r="F1797" t="inlineStr">
        <is>
          <t>C1</t>
        </is>
      </c>
      <c r="G1797" t="inlineStr">
        <is>
          <t>27.54135038</t>
        </is>
      </c>
      <c r="H1797" t="n">
        <v>-167.1709712</v>
      </c>
      <c r="I1797" t="inlineStr">
        <is>
          <t>C1</t>
        </is>
      </c>
      <c r="J1797" t="n">
        <v>0.0157964711689826</v>
      </c>
      <c r="K1797" t="inlineStr"/>
      <c r="L1797" t="n">
        <v>0.964404378</v>
      </c>
      <c r="M1797" t="n">
        <v>0.9620609919999999</v>
      </c>
      <c r="N1797" t="inlineStr">
        <is>
          <t>Yes</t>
        </is>
      </c>
      <c r="O1797" t="inlineStr">
        <is>
          <t>equal</t>
        </is>
      </c>
      <c r="P1797" t="inlineStr">
        <is>
          <t>deposited</t>
        </is>
      </c>
      <c r="Q1797" t="inlineStr"/>
      <c r="R1797" t="inlineStr"/>
      <c r="S1797">
        <f>HYPERLINK("https://helical-indexing-hi3d.streamlit.app/?emd_id=emd-47180&amp;rise=27.54135038&amp;twist=-167.1709712&amp;csym=1&amp;rise2=27.557&amp;twist2=-167.181&amp;csym2=1", "Link")</f>
        <v/>
      </c>
    </row>
    <row r="1798">
      <c r="A1798" t="inlineStr">
        <is>
          <t>EMD-47179</t>
        </is>
      </c>
      <c r="B1798" t="inlineStr">
        <is>
          <t>non-amyloid</t>
        </is>
      </c>
      <c r="C1798" t="n">
        <v>3.4</v>
      </c>
      <c r="D1798" t="n">
        <v>27.557</v>
      </c>
      <c r="E1798" t="n">
        <v>-166.9</v>
      </c>
      <c r="F1798" t="inlineStr">
        <is>
          <t>C1</t>
        </is>
      </c>
      <c r="G1798" t="inlineStr">
        <is>
          <t>27.54947786</t>
        </is>
      </c>
      <c r="H1798" t="n">
        <v>-166.8957791</v>
      </c>
      <c r="I1798" t="inlineStr">
        <is>
          <t>C1</t>
        </is>
      </c>
      <c r="J1798" t="n">
        <v>0.007576737</v>
      </c>
      <c r="K1798" t="inlineStr"/>
      <c r="L1798" t="n">
        <v>0.9647935</v>
      </c>
      <c r="M1798" t="n">
        <v>0.963876355</v>
      </c>
      <c r="N1798" t="inlineStr">
        <is>
          <t>Yes</t>
        </is>
      </c>
      <c r="O1798" t="inlineStr">
        <is>
          <t>equal</t>
        </is>
      </c>
      <c r="P1798" t="inlineStr">
        <is>
          <t>deposited</t>
        </is>
      </c>
      <c r="Q1798" t="inlineStr"/>
      <c r="R1798" t="inlineStr"/>
      <c r="S1798">
        <f>HYPERLINK("https://helical-indexing-hi3d.streamlit.app/?emd_id=emd-47179&amp;rise=27.54947786&amp;twist=-166.8957791&amp;csym=1&amp;rise2=27.557&amp;twist2=-166.9&amp;csym2=1", "Link")</f>
        <v/>
      </c>
    </row>
    <row r="1799">
      <c r="A1799" t="inlineStr">
        <is>
          <t>EMD-18588</t>
        </is>
      </c>
      <c r="B1799" t="inlineStr">
        <is>
          <t>non-amyloid</t>
        </is>
      </c>
      <c r="C1799" t="n">
        <v>2.4</v>
      </c>
      <c r="D1799" t="n">
        <v>9.242000000000001</v>
      </c>
      <c r="E1799" t="n">
        <v>92.36</v>
      </c>
      <c r="F1799" t="inlineStr">
        <is>
          <t>C1</t>
        </is>
      </c>
      <c r="G1799" t="inlineStr">
        <is>
          <t>9.23238051</t>
        </is>
      </c>
      <c r="H1799" t="n">
        <v>92.31677911</v>
      </c>
      <c r="I1799" t="inlineStr">
        <is>
          <t>C1</t>
        </is>
      </c>
      <c r="J1799" t="n">
        <v>0.014824855</v>
      </c>
      <c r="K1799" t="inlineStr"/>
      <c r="L1799" t="n">
        <v>0.919811621</v>
      </c>
      <c r="M1799" t="n">
        <v>0.916171005</v>
      </c>
      <c r="N1799" t="inlineStr">
        <is>
          <t>Yes</t>
        </is>
      </c>
      <c r="O1799" t="inlineStr">
        <is>
          <t>equal</t>
        </is>
      </c>
      <c r="P1799" t="inlineStr">
        <is>
          <t>deposited</t>
        </is>
      </c>
      <c r="Q1799" t="inlineStr"/>
      <c r="R1799" t="inlineStr"/>
      <c r="S1799">
        <f>HYPERLINK("https://helical-indexing-hi3d.streamlit.app/?emd_id=emd-18588&amp;rise=9.23238051&amp;twist=92.31677911&amp;csym=1&amp;rise2=9.242&amp;twist2=92.36&amp;csym2=1", "Link")</f>
        <v/>
      </c>
    </row>
    <row r="1800">
      <c r="A1800" t="inlineStr">
        <is>
          <t>EMD-19865</t>
        </is>
      </c>
      <c r="B1800" t="inlineStr">
        <is>
          <t>non-amyloid</t>
        </is>
      </c>
      <c r="C1800" t="n">
        <v>3</v>
      </c>
      <c r="D1800" t="n">
        <v>6.54</v>
      </c>
      <c r="E1800" t="n">
        <v>-157</v>
      </c>
      <c r="F1800" t="inlineStr">
        <is>
          <t>C3</t>
        </is>
      </c>
      <c r="G1800" t="inlineStr">
        <is>
          <t>6.533278677</t>
        </is>
      </c>
      <c r="H1800" t="n">
        <v>-36.99712357</v>
      </c>
      <c r="I1800" t="inlineStr">
        <is>
          <t>C3</t>
        </is>
      </c>
      <c r="J1800" t="n">
        <v>0.006827627</v>
      </c>
      <c r="K1800" t="inlineStr"/>
      <c r="L1800" t="n">
        <v>0.923067632</v>
      </c>
      <c r="M1800" t="n">
        <v>0.925915878</v>
      </c>
      <c r="N1800" t="inlineStr">
        <is>
          <t>Yes</t>
        </is>
      </c>
      <c r="O1800" t="inlineStr">
        <is>
          <t>equal</t>
        </is>
      </c>
      <c r="P1800" t="inlineStr">
        <is>
          <t>deposited</t>
        </is>
      </c>
      <c r="Q1800" t="inlineStr"/>
      <c r="R1800" t="inlineStr"/>
      <c r="S1800">
        <f>HYPERLINK("https://helical-indexing-hi3d.streamlit.app/?emd_id=emd-19865&amp;rise=6.533278677&amp;twist=-36.99712357&amp;csym=3&amp;rise2=6.54&amp;twist2=-157.0&amp;csym2=3", "Link")</f>
        <v/>
      </c>
    </row>
    <row r="1801">
      <c r="A1801" t="inlineStr">
        <is>
          <t>EMD-19866</t>
        </is>
      </c>
      <c r="B1801" t="inlineStr">
        <is>
          <t>non-amyloid</t>
        </is>
      </c>
      <c r="C1801" t="n">
        <v>3</v>
      </c>
      <c r="D1801" t="n">
        <v>4.04</v>
      </c>
      <c r="E1801" t="n">
        <v>-34.45</v>
      </c>
      <c r="F1801" t="inlineStr">
        <is>
          <t>C2</t>
        </is>
      </c>
      <c r="G1801" t="inlineStr">
        <is>
          <t>4.035345495</t>
        </is>
      </c>
      <c r="H1801" t="n">
        <v>-34.42837597</v>
      </c>
      <c r="I1801" t="inlineStr">
        <is>
          <t>C2</t>
        </is>
      </c>
      <c r="J1801" t="n">
        <v>0.010282848</v>
      </c>
      <c r="K1801" t="inlineStr"/>
      <c r="L1801" t="n">
        <v>0.823278765</v>
      </c>
      <c r="M1801" t="n">
        <v>0.9215746849999999</v>
      </c>
      <c r="N1801" t="inlineStr">
        <is>
          <t>Yes</t>
        </is>
      </c>
      <c r="O1801" t="inlineStr">
        <is>
          <t>equal</t>
        </is>
      </c>
      <c r="P1801" t="inlineStr">
        <is>
          <t>deposited</t>
        </is>
      </c>
      <c r="Q1801" t="inlineStr"/>
      <c r="R1801" t="inlineStr"/>
      <c r="S1801">
        <f>HYPERLINK("https://helical-indexing-hi3d.streamlit.app/?emd_id=emd-19866&amp;rise=4.035345495&amp;twist=-34.42837597&amp;csym=2&amp;rise2=4.04&amp;twist2=-34.45&amp;csym2=2", "Link")</f>
        <v/>
      </c>
    </row>
    <row r="1802">
      <c r="A1802" t="inlineStr">
        <is>
          <t>EMD-18593</t>
        </is>
      </c>
      <c r="B1802" t="inlineStr">
        <is>
          <t>non-amyloid</t>
        </is>
      </c>
      <c r="C1802" t="n">
        <v>2.63</v>
      </c>
      <c r="D1802" t="n">
        <v>11.25</v>
      </c>
      <c r="E1802" t="n">
        <v>84</v>
      </c>
      <c r="F1802" t="inlineStr">
        <is>
          <t>C1</t>
        </is>
      </c>
      <c r="G1802" t="inlineStr">
        <is>
          <t>11.24564468</t>
        </is>
      </c>
      <c r="H1802" t="n">
        <v>84.0389469</v>
      </c>
      <c r="I1802" t="inlineStr">
        <is>
          <t>C1</t>
        </is>
      </c>
      <c r="J1802" t="n">
        <v>0.009747387999999999</v>
      </c>
      <c r="K1802" t="inlineStr"/>
      <c r="L1802" t="n">
        <v>0.976211892</v>
      </c>
      <c r="M1802" t="n">
        <v>0.976124002</v>
      </c>
      <c r="N1802" t="inlineStr">
        <is>
          <t>Yes</t>
        </is>
      </c>
      <c r="O1802" t="inlineStr">
        <is>
          <t>equal</t>
        </is>
      </c>
      <c r="P1802" t="inlineStr">
        <is>
          <t>deposited</t>
        </is>
      </c>
      <c r="Q1802" t="inlineStr"/>
      <c r="R1802" t="inlineStr"/>
      <c r="S1802">
        <f>HYPERLINK("https://helical-indexing-hi3d.streamlit.app/?emd_id=emd-18593&amp;rise=11.24564468&amp;twist=84.0389469&amp;csym=1&amp;rise2=11.25&amp;twist2=84.0&amp;csym2=1", "Link")</f>
        <v/>
      </c>
    </row>
    <row r="1803">
      <c r="A1803" t="inlineStr">
        <is>
          <t>EMD-43278</t>
        </is>
      </c>
      <c r="B1803" t="inlineStr">
        <is>
          <t>non-amyloid</t>
        </is>
      </c>
      <c r="C1803" t="n">
        <v>2.7</v>
      </c>
      <c r="D1803" t="n">
        <v>40.86</v>
      </c>
      <c r="E1803" t="n">
        <v>-40.83</v>
      </c>
      <c r="F1803" t="inlineStr">
        <is>
          <t>C6</t>
        </is>
      </c>
      <c r="G1803" t="inlineStr">
        <is>
          <t>40.88218928</t>
        </is>
      </c>
      <c r="H1803" t="n">
        <v>19.19478546</v>
      </c>
      <c r="I1803" t="inlineStr">
        <is>
          <t>C6</t>
        </is>
      </c>
      <c r="J1803" t="n">
        <v>0.027367801</v>
      </c>
      <c r="K1803" t="inlineStr"/>
      <c r="L1803" t="n">
        <v>0.917207648</v>
      </c>
      <c r="M1803" t="n">
        <v>0.919192165</v>
      </c>
      <c r="N1803" t="inlineStr">
        <is>
          <t>Yes</t>
        </is>
      </c>
      <c r="O1803" t="inlineStr">
        <is>
          <t>equal</t>
        </is>
      </c>
      <c r="P1803" t="inlineStr">
        <is>
          <t>deposited</t>
        </is>
      </c>
      <c r="Q1803" t="inlineStr"/>
      <c r="R1803" t="inlineStr"/>
      <c r="S1803">
        <f>HYPERLINK("https://helical-indexing-hi3d.streamlit.app/?emd_id=emd-43278&amp;rise=40.88218928&amp;twist=19.19478546&amp;csym=6&amp;rise2=40.86&amp;twist2=-40.83&amp;csym2=6", "Link")</f>
        <v/>
      </c>
    </row>
    <row r="1804">
      <c r="A1804" t="inlineStr">
        <is>
          <t>EMD-46417</t>
        </is>
      </c>
      <c r="B1804" t="inlineStr">
        <is>
          <t>amyloid</t>
        </is>
      </c>
      <c r="C1804" t="n">
        <v>3</v>
      </c>
      <c r="D1804" t="n">
        <v>2.38</v>
      </c>
      <c r="E1804" t="n">
        <v>179.46</v>
      </c>
      <c r="F1804" t="inlineStr">
        <is>
          <t>C1</t>
        </is>
      </c>
      <c r="G1804" t="inlineStr">
        <is>
          <t>2.377595334</t>
        </is>
      </c>
      <c r="H1804" t="n">
        <v>179.4411375</v>
      </c>
      <c r="I1804" t="inlineStr">
        <is>
          <t>C1</t>
        </is>
      </c>
      <c r="J1804" t="n">
        <v>0.002681397</v>
      </c>
      <c r="K1804" t="inlineStr"/>
      <c r="L1804" t="n">
        <v>0.85995131</v>
      </c>
      <c r="M1804" t="n">
        <v>0.852651207</v>
      </c>
      <c r="N1804" t="inlineStr">
        <is>
          <t>Yes</t>
        </is>
      </c>
      <c r="O1804" t="inlineStr">
        <is>
          <t>equal</t>
        </is>
      </c>
      <c r="P1804" t="inlineStr">
        <is>
          <t>deposited</t>
        </is>
      </c>
      <c r="Q1804" t="inlineStr"/>
      <c r="R1804" t="inlineStr"/>
      <c r="S1804">
        <f>HYPERLINK("https://helical-indexing-hi3d.streamlit.app/?emd_id=emd-46417&amp;rise=2.377595334&amp;twist=179.4411375&amp;csym=1&amp;rise2=2.38&amp;twist2=179.46&amp;csym2=1", "Link")</f>
        <v/>
      </c>
    </row>
    <row r="1805">
      <c r="A1805" t="inlineStr">
        <is>
          <t>EMD-60394</t>
        </is>
      </c>
      <c r="B1805" t="inlineStr">
        <is>
          <t>non-amyloid</t>
        </is>
      </c>
      <c r="C1805" t="n">
        <v>3.32</v>
      </c>
      <c r="D1805" t="n">
        <v>34.2</v>
      </c>
      <c r="E1805" t="n">
        <v>-18.4</v>
      </c>
      <c r="F1805" t="inlineStr">
        <is>
          <t>C9</t>
        </is>
      </c>
      <c r="G1805" t="inlineStr">
        <is>
          <t>34.25704162</t>
        </is>
      </c>
      <c r="H1805" t="n">
        <v>-18.4112715</v>
      </c>
      <c r="I1805" t="inlineStr">
        <is>
          <t>C9</t>
        </is>
      </c>
      <c r="J1805" t="n">
        <v>0.0570879180735953</v>
      </c>
      <c r="K1805" t="inlineStr"/>
      <c r="L1805" t="n">
        <v>0.959346017</v>
      </c>
      <c r="M1805" t="n">
        <v>0.963101977</v>
      </c>
      <c r="N1805" t="inlineStr">
        <is>
          <t>Yes</t>
        </is>
      </c>
      <c r="O1805" t="inlineStr">
        <is>
          <t>equal</t>
        </is>
      </c>
      <c r="P1805" t="inlineStr">
        <is>
          <t>deposited</t>
        </is>
      </c>
      <c r="Q1805" t="inlineStr"/>
      <c r="R1805" t="inlineStr"/>
      <c r="S1805">
        <f>HYPERLINK("https://helical-indexing-hi3d.streamlit.app/?emd_id=emd-60394&amp;rise=34.25704162&amp;twist=-18.4112715&amp;csym=9&amp;rise2=34.2&amp;twist2=-18.4&amp;csym2=9", "Link")</f>
        <v/>
      </c>
    </row>
    <row r="1806">
      <c r="A1806" t="inlineStr">
        <is>
          <t>EMD-46420</t>
        </is>
      </c>
      <c r="B1806" t="inlineStr">
        <is>
          <t>amyloid</t>
        </is>
      </c>
      <c r="C1806" t="n">
        <v>2.9</v>
      </c>
      <c r="D1806" t="n">
        <v>4.78</v>
      </c>
      <c r="E1806" t="n">
        <v>-1.08</v>
      </c>
      <c r="F1806" t="inlineStr">
        <is>
          <t>C1</t>
        </is>
      </c>
      <c r="G1806" t="inlineStr">
        <is>
          <t>4.776490196</t>
        </is>
      </c>
      <c r="H1806" t="n">
        <v>-1.098779874</v>
      </c>
      <c r="I1806" t="inlineStr">
        <is>
          <t>C1</t>
        </is>
      </c>
      <c r="J1806" t="n">
        <v>0.008676059</v>
      </c>
      <c r="K1806" t="inlineStr"/>
      <c r="L1806" t="n">
        <v>0.925915382</v>
      </c>
      <c r="M1806" t="n">
        <v>0.928604692</v>
      </c>
      <c r="N1806" t="inlineStr">
        <is>
          <t>Yes</t>
        </is>
      </c>
      <c r="O1806" t="inlineStr">
        <is>
          <t>equal</t>
        </is>
      </c>
      <c r="P1806" t="inlineStr">
        <is>
          <t>deposited</t>
        </is>
      </c>
      <c r="Q1806" t="inlineStr"/>
      <c r="R1806" t="inlineStr"/>
      <c r="S1806">
        <f>HYPERLINK("https://helical-indexing-hi3d.streamlit.app/?emd_id=emd-46420&amp;rise=4.776490196&amp;twist=-1.098779874&amp;csym=1&amp;rise2=4.78&amp;twist2=-1.08&amp;csym2=1", "Link")</f>
        <v/>
      </c>
    </row>
    <row r="1807">
      <c r="A1807" t="inlineStr">
        <is>
          <t>EMD-46424</t>
        </is>
      </c>
      <c r="B1807" t="inlineStr">
        <is>
          <t>amyloid</t>
        </is>
      </c>
      <c r="C1807" t="n">
        <v>3.3</v>
      </c>
      <c r="D1807" t="n">
        <v>4.77</v>
      </c>
      <c r="E1807" t="n">
        <v>-1.74</v>
      </c>
      <c r="F1807" t="inlineStr">
        <is>
          <t>C1</t>
        </is>
      </c>
      <c r="G1807" t="inlineStr">
        <is>
          <t>4.757709421</t>
        </is>
      </c>
      <c r="H1807" t="n">
        <v>-1.760915261</v>
      </c>
      <c r="I1807" t="inlineStr">
        <is>
          <t>C1</t>
        </is>
      </c>
      <c r="J1807" t="n">
        <v>0.0145961543360186</v>
      </c>
      <c r="K1807" t="inlineStr"/>
      <c r="L1807" t="n">
        <v>0.926021428</v>
      </c>
      <c r="M1807" t="n">
        <v>0.932692765</v>
      </c>
      <c r="N1807" t="inlineStr">
        <is>
          <t>Yes</t>
        </is>
      </c>
      <c r="O1807" t="inlineStr">
        <is>
          <t>equal</t>
        </is>
      </c>
      <c r="P1807" t="inlineStr">
        <is>
          <t>deposited</t>
        </is>
      </c>
      <c r="Q1807" t="inlineStr"/>
      <c r="R1807" t="inlineStr"/>
      <c r="S1807">
        <f>HYPERLINK("https://helical-indexing-hi3d.streamlit.app/?emd_id=emd-46424&amp;rise=4.757709421&amp;twist=-1.760915261&amp;csym=1&amp;rise2=4.77&amp;twist2=-1.74&amp;csym2=1", "Link")</f>
        <v/>
      </c>
    </row>
    <row r="1808">
      <c r="A1808" t="inlineStr">
        <is>
          <t>EMD-46422</t>
        </is>
      </c>
      <c r="B1808" t="inlineStr">
        <is>
          <t>amyloid</t>
        </is>
      </c>
      <c r="C1808" t="n">
        <v>2.6</v>
      </c>
      <c r="D1808" t="n">
        <v>2.39</v>
      </c>
      <c r="E1808" t="n">
        <v>179.44</v>
      </c>
      <c r="F1808" t="inlineStr">
        <is>
          <t>C1</t>
        </is>
      </c>
      <c r="G1808" t="inlineStr">
        <is>
          <t>2.386631431</t>
        </is>
      </c>
      <c r="H1808" t="n">
        <v>179.4396397</v>
      </c>
      <c r="I1808" t="inlineStr">
        <is>
          <t>C1</t>
        </is>
      </c>
      <c r="J1808" t="n">
        <v>0.003370462</v>
      </c>
      <c r="K1808" t="inlineStr"/>
      <c r="L1808" t="n">
        <v>0.869454336</v>
      </c>
      <c r="M1808" t="n">
        <v>0.873316367</v>
      </c>
      <c r="N1808" t="inlineStr">
        <is>
          <t>Yes</t>
        </is>
      </c>
      <c r="O1808" t="inlineStr">
        <is>
          <t>equal</t>
        </is>
      </c>
      <c r="P1808" t="inlineStr">
        <is>
          <t>deposited</t>
        </is>
      </c>
      <c r="Q1808" t="inlineStr"/>
      <c r="R1808" t="inlineStr"/>
      <c r="S1808">
        <f>HYPERLINK("https://helical-indexing-hi3d.streamlit.app/?emd_id=emd-46422&amp;rise=2.386631431&amp;twist=179.4396397&amp;csym=1&amp;rise2=2.39&amp;twist2=179.44&amp;csym2=1", "Link")</f>
        <v/>
      </c>
    </row>
    <row r="1809">
      <c r="A1809" t="inlineStr">
        <is>
          <t>EMD-37443</t>
        </is>
      </c>
      <c r="B1809" t="inlineStr">
        <is>
          <t>non-amyloid</t>
        </is>
      </c>
      <c r="C1809" t="n">
        <v>2.94</v>
      </c>
      <c r="D1809" t="n">
        <v>14.584</v>
      </c>
      <c r="E1809" t="n">
        <v>83.437</v>
      </c>
      <c r="F1809" t="inlineStr">
        <is>
          <t>C1</t>
        </is>
      </c>
      <c r="G1809" t="inlineStr">
        <is>
          <t>14.58218717</t>
        </is>
      </c>
      <c r="H1809" t="n">
        <v>83.43496304999999</v>
      </c>
      <c r="I1809" t="inlineStr">
        <is>
          <t>C1</t>
        </is>
      </c>
      <c r="J1809" t="n">
        <v>0.001938567</v>
      </c>
      <c r="K1809" t="inlineStr"/>
      <c r="L1809" t="n">
        <v>0.960717402</v>
      </c>
      <c r="M1809" t="n">
        <v>0.960808128</v>
      </c>
      <c r="N1809" t="inlineStr">
        <is>
          <t>Yes</t>
        </is>
      </c>
      <c r="O1809" t="inlineStr">
        <is>
          <t>equal</t>
        </is>
      </c>
      <c r="P1809" t="inlineStr">
        <is>
          <t>deposited</t>
        </is>
      </c>
      <c r="Q1809" t="inlineStr"/>
      <c r="R1809" t="inlineStr"/>
      <c r="S1809">
        <f>HYPERLINK("https://helical-indexing-hi3d.streamlit.app/?emd_id=emd-37443&amp;rise=14.58218717&amp;twist=83.43496305&amp;csym=1&amp;rise2=14.584&amp;twist2=83.437&amp;csym2=1", "Link")</f>
        <v/>
      </c>
    </row>
    <row r="1810">
      <c r="A1810" t="inlineStr">
        <is>
          <t>EMD-18429</t>
        </is>
      </c>
      <c r="B1810" t="inlineStr">
        <is>
          <t>non-amyloid</t>
        </is>
      </c>
      <c r="C1810" t="n">
        <v>6.7</v>
      </c>
      <c r="D1810" t="n">
        <v>7.48</v>
      </c>
      <c r="E1810" t="n">
        <v>-21.7</v>
      </c>
      <c r="F1810" t="inlineStr">
        <is>
          <t>C4</t>
        </is>
      </c>
      <c r="G1810" t="inlineStr">
        <is>
          <t>7.380828804</t>
        </is>
      </c>
      <c r="H1810" t="n">
        <v>21.75531466</v>
      </c>
      <c r="I1810" t="inlineStr">
        <is>
          <t>C4</t>
        </is>
      </c>
      <c r="J1810" t="n">
        <v>5.191777823517095</v>
      </c>
      <c r="K1810" t="inlineStr"/>
      <c r="L1810" t="n">
        <v>0.49054678</v>
      </c>
      <c r="M1810" t="n">
        <v>0.902798996</v>
      </c>
      <c r="N1810" t="inlineStr">
        <is>
          <t>Yes</t>
        </is>
      </c>
      <c r="O1810" t="inlineStr">
        <is>
          <t>improve</t>
        </is>
      </c>
      <c r="P1810" t="inlineStr">
        <is>
          <t>twist sign</t>
        </is>
      </c>
      <c r="Q1810" t="inlineStr"/>
      <c r="R1810" t="inlineStr"/>
      <c r="S1810">
        <f>HYPERLINK("https://helical-indexing-hi3d.streamlit.app/?emd_id=emd-18429&amp;rise=7.380828804&amp;twist=21.75531466&amp;csym=4&amp;rise2=7.48&amp;twist2=-21.7&amp;csym2=4", "Link")</f>
        <v/>
      </c>
    </row>
    <row r="1811">
      <c r="A1811" t="inlineStr">
        <is>
          <t>EMD-18427</t>
        </is>
      </c>
      <c r="B1811" t="inlineStr">
        <is>
          <t>non-amyloid</t>
        </is>
      </c>
      <c r="C1811" t="n">
        <v>7</v>
      </c>
      <c r="D1811" t="n">
        <v>4.09</v>
      </c>
      <c r="E1811" t="n">
        <v>77.7</v>
      </c>
      <c r="F1811" t="inlineStr">
        <is>
          <t>C2</t>
        </is>
      </c>
      <c r="G1811" t="inlineStr">
        <is>
          <t>4.086678024</t>
        </is>
      </c>
      <c r="H1811" t="n">
        <v>-77.70911998</v>
      </c>
      <c r="I1811" t="inlineStr">
        <is>
          <t>C2</t>
        </is>
      </c>
      <c r="J1811" t="n">
        <v>3.323677733091028</v>
      </c>
      <c r="K1811" t="inlineStr"/>
      <c r="L1811" t="n">
        <v>0.315002543</v>
      </c>
      <c r="M1811" t="n">
        <v>0.879131439</v>
      </c>
      <c r="N1811" t="inlineStr">
        <is>
          <t>Yes</t>
        </is>
      </c>
      <c r="O1811" t="inlineStr">
        <is>
          <t>improve</t>
        </is>
      </c>
      <c r="P1811" t="inlineStr">
        <is>
          <t>twist sign</t>
        </is>
      </c>
      <c r="Q1811" t="inlineStr"/>
      <c r="R1811" t="inlineStr"/>
      <c r="S1811">
        <f>HYPERLINK("https://helical-indexing-hi3d.streamlit.app/?emd_id=emd-18427&amp;rise=4.086678024&amp;twist=-77.70911998&amp;csym=2&amp;rise2=4.09&amp;twist2=77.7&amp;csym2=2", "Link")</f>
        <v/>
      </c>
    </row>
    <row r="1812">
      <c r="A1812" t="inlineStr">
        <is>
          <t>EMD-18435</t>
        </is>
      </c>
      <c r="B1812" t="inlineStr">
        <is>
          <t>non-amyloid</t>
        </is>
      </c>
      <c r="C1812" t="n">
        <v>7.8</v>
      </c>
      <c r="D1812" t="n">
        <v>2.73</v>
      </c>
      <c r="E1812" t="n">
        <v>82</v>
      </c>
      <c r="F1812" t="inlineStr">
        <is>
          <t>C2</t>
        </is>
      </c>
      <c r="G1812" t="inlineStr">
        <is>
          <t>3.011592067</t>
        </is>
      </c>
      <c r="H1812" t="n">
        <v>-83.03284737</v>
      </c>
      <c r="I1812" t="inlineStr">
        <is>
          <t>C2</t>
        </is>
      </c>
      <c r="J1812" t="n">
        <v>1.951927885695527</v>
      </c>
      <c r="K1812" t="inlineStr"/>
      <c r="L1812" t="n">
        <v>0.566714179</v>
      </c>
      <c r="M1812" t="n">
        <v>0.537730729</v>
      </c>
      <c r="N1812" t="inlineStr">
        <is>
          <t>Yes</t>
        </is>
      </c>
      <c r="O1812" t="inlineStr">
        <is>
          <t>equal</t>
        </is>
      </c>
      <c r="P1812" t="inlineStr">
        <is>
          <t>deposited</t>
        </is>
      </c>
      <c r="Q1812" t="inlineStr"/>
      <c r="R1812" t="inlineStr"/>
      <c r="S1812">
        <f>HYPERLINK("https://helical-indexing-hi3d.streamlit.app/?emd_id=emd-18435&amp;rise=3.011592067&amp;twist=-83.03284737&amp;csym=2&amp;rise2=2.73&amp;twist2=82.0&amp;csym2=2", "Link")</f>
        <v/>
      </c>
    </row>
    <row r="1813">
      <c r="A1813" t="inlineStr">
        <is>
          <t>EMD-18318</t>
        </is>
      </c>
      <c r="B1813" t="inlineStr">
        <is>
          <t>non-amyloid</t>
        </is>
      </c>
      <c r="C1813" t="n">
        <v>3.74</v>
      </c>
      <c r="D1813" t="n">
        <v>2.372081</v>
      </c>
      <c r="E1813" t="n">
        <v>-75.86006999999999</v>
      </c>
      <c r="F1813" t="inlineStr">
        <is>
          <t>C1</t>
        </is>
      </c>
      <c r="G1813" t="inlineStr">
        <is>
          <t>2.373432592</t>
        </is>
      </c>
      <c r="H1813" t="n">
        <v>-75.85806372</v>
      </c>
      <c r="I1813" t="inlineStr">
        <is>
          <t>C1</t>
        </is>
      </c>
      <c r="J1813" t="n">
        <v>0.002319452</v>
      </c>
      <c r="K1813" t="inlineStr"/>
      <c r="L1813" t="n">
        <v>0.878554401</v>
      </c>
      <c r="M1813" t="n">
        <v>0.878113432</v>
      </c>
      <c r="N1813" t="inlineStr">
        <is>
          <t>Yes</t>
        </is>
      </c>
      <c r="O1813" t="inlineStr">
        <is>
          <t>equal</t>
        </is>
      </c>
      <c r="P1813" t="inlineStr">
        <is>
          <t>deposited</t>
        </is>
      </c>
      <c r="Q1813" t="inlineStr"/>
      <c r="R1813" t="inlineStr"/>
      <c r="S1813">
        <f>HYPERLINK("https://helical-indexing-hi3d.streamlit.app/?emd_id=emd-18318&amp;rise=2.373432592&amp;twist=-75.85806372&amp;csym=1&amp;rise2=2.372081&amp;twist2=-75.86007&amp;csym2=1", "Link")</f>
        <v/>
      </c>
    </row>
    <row r="1814">
      <c r="A1814" t="inlineStr">
        <is>
          <t>EMD-18663</t>
        </is>
      </c>
      <c r="B1814" t="inlineStr">
        <is>
          <t>amyloid</t>
        </is>
      </c>
      <c r="C1814" t="n">
        <v>2.8</v>
      </c>
      <c r="D1814" t="n">
        <v>4.78</v>
      </c>
      <c r="E1814" t="n">
        <v>-1</v>
      </c>
      <c r="F1814" t="inlineStr">
        <is>
          <t>C1</t>
        </is>
      </c>
      <c r="G1814" t="inlineStr">
        <is>
          <t>4.77230592</t>
        </is>
      </c>
      <c r="H1814" t="n">
        <v>-1.015237688</v>
      </c>
      <c r="I1814" t="inlineStr">
        <is>
          <t>C1</t>
        </is>
      </c>
      <c r="J1814" t="n">
        <v>0.009476241</v>
      </c>
      <c r="K1814" t="inlineStr"/>
      <c r="L1814" t="n">
        <v>0.852835802</v>
      </c>
      <c r="M1814" t="n">
        <v>0.852212367</v>
      </c>
      <c r="N1814" t="inlineStr">
        <is>
          <t>Yes</t>
        </is>
      </c>
      <c r="O1814" t="inlineStr">
        <is>
          <t>equal</t>
        </is>
      </c>
      <c r="P1814" t="inlineStr">
        <is>
          <t>deposited</t>
        </is>
      </c>
      <c r="Q1814" t="inlineStr"/>
      <c r="R1814" t="inlineStr"/>
      <c r="S1814">
        <f>HYPERLINK("https://helical-indexing-hi3d.streamlit.app/?emd_id=emd-18663&amp;rise=4.77230592&amp;twist=-1.015237688&amp;csym=1&amp;rise2=4.78&amp;twist2=-1.0&amp;csym2=1", "Link")</f>
        <v/>
      </c>
    </row>
    <row r="1815">
      <c r="A1815" t="inlineStr">
        <is>
          <t>EMD-18420</t>
        </is>
      </c>
      <c r="B1815" t="inlineStr">
        <is>
          <t>non-amyloid</t>
        </is>
      </c>
      <c r="C1815" t="n">
        <v>7</v>
      </c>
      <c r="D1815" t="n">
        <v>2.1</v>
      </c>
      <c r="E1815" t="n">
        <v>43.5</v>
      </c>
      <c r="F1815" t="inlineStr">
        <is>
          <t>C1</t>
        </is>
      </c>
      <c r="G1815" t="inlineStr">
        <is>
          <t>2.102844234</t>
        </is>
      </c>
      <c r="H1815" t="n">
        <v>43.49933305</v>
      </c>
      <c r="I1815" t="inlineStr">
        <is>
          <t>C1</t>
        </is>
      </c>
      <c r="J1815" t="n">
        <v>0.002923633</v>
      </c>
      <c r="K1815" t="inlineStr"/>
      <c r="L1815" t="n">
        <v>0.932961995</v>
      </c>
      <c r="M1815" t="n">
        <v>0.933197307</v>
      </c>
      <c r="N1815" t="inlineStr">
        <is>
          <t>Yes</t>
        </is>
      </c>
      <c r="O1815" t="inlineStr">
        <is>
          <t>equal</t>
        </is>
      </c>
      <c r="P1815" t="inlineStr">
        <is>
          <t>deposited</t>
        </is>
      </c>
      <c r="Q1815" t="inlineStr"/>
      <c r="R1815" t="inlineStr"/>
      <c r="S1815">
        <f>HYPERLINK("https://helical-indexing-hi3d.streamlit.app/?emd_id=emd-18420&amp;rise=2.102844234&amp;twist=43.49933305&amp;csym=1&amp;rise2=2.1&amp;twist2=43.5&amp;csym2=1", "Link")</f>
        <v/>
      </c>
    </row>
    <row r="1816">
      <c r="A1816" t="inlineStr">
        <is>
          <t>EMD-18434</t>
        </is>
      </c>
      <c r="B1816" t="inlineStr">
        <is>
          <t>non-amyloid</t>
        </is>
      </c>
      <c r="C1816" t="n">
        <v>6.7</v>
      </c>
      <c r="D1816" t="n">
        <v>6.06</v>
      </c>
      <c r="E1816" t="n">
        <v>-17.6</v>
      </c>
      <c r="F1816" t="inlineStr">
        <is>
          <t>C4</t>
        </is>
      </c>
      <c r="G1816" t="inlineStr">
        <is>
          <t>6.084245721</t>
        </is>
      </c>
      <c r="H1816" t="n">
        <v>17.65320988</v>
      </c>
      <c r="I1816" t="inlineStr">
        <is>
          <t>C4</t>
        </is>
      </c>
      <c r="J1816" t="n">
        <v>4.658442363506433</v>
      </c>
      <c r="K1816" t="inlineStr"/>
      <c r="L1816" t="n">
        <v>0.512151031</v>
      </c>
      <c r="M1816" t="n">
        <v>0.90871028</v>
      </c>
      <c r="N1816" t="inlineStr">
        <is>
          <t>Yes</t>
        </is>
      </c>
      <c r="O1816" t="inlineStr">
        <is>
          <t>improve</t>
        </is>
      </c>
      <c r="P1816" t="inlineStr">
        <is>
          <t>twist sign</t>
        </is>
      </c>
      <c r="Q1816" t="inlineStr"/>
      <c r="R1816" t="inlineStr"/>
      <c r="S1816">
        <f>HYPERLINK("https://helical-indexing-hi3d.streamlit.app/?emd_id=emd-18434&amp;rise=6.084245721&amp;twist=17.65320988&amp;csym=4&amp;rise2=6.06&amp;twist2=-17.6&amp;csym2=4", "Link")</f>
        <v/>
      </c>
    </row>
    <row r="1817">
      <c r="A1817" t="inlineStr">
        <is>
          <t>EMD-18321</t>
        </is>
      </c>
      <c r="B1817" t="inlineStr">
        <is>
          <t>non-amyloid</t>
        </is>
      </c>
      <c r="C1817" t="n">
        <v>3.78</v>
      </c>
      <c r="D1817" t="n">
        <v>2.15543</v>
      </c>
      <c r="E1817" t="n">
        <v>68.50718000000001</v>
      </c>
      <c r="F1817" t="inlineStr">
        <is>
          <t>C1</t>
        </is>
      </c>
      <c r="G1817" t="inlineStr">
        <is>
          <t>2.152152606</t>
        </is>
      </c>
      <c r="H1817" t="n">
        <v>68.50666983000001</v>
      </c>
      <c r="I1817" t="inlineStr">
        <is>
          <t>C1</t>
        </is>
      </c>
      <c r="J1817" t="n">
        <v>0.003322751</v>
      </c>
      <c r="K1817" t="inlineStr"/>
      <c r="L1817" t="n">
        <v>0.753622339</v>
      </c>
      <c r="M1817" t="n">
        <v>0.755110117</v>
      </c>
      <c r="N1817" t="inlineStr">
        <is>
          <t>Yes</t>
        </is>
      </c>
      <c r="O1817" t="inlineStr">
        <is>
          <t>equal</t>
        </is>
      </c>
      <c r="P1817" t="inlineStr">
        <is>
          <t>deposited</t>
        </is>
      </c>
      <c r="Q1817" t="inlineStr"/>
      <c r="R1817" t="inlineStr"/>
      <c r="S1817">
        <f>HYPERLINK("https://helical-indexing-hi3d.streamlit.app/?emd_id=emd-18321&amp;rise=2.152152606&amp;twist=68.50666983&amp;csym=1&amp;rise2=2.15543&amp;twist2=68.50718&amp;csym2=1", "Link")</f>
        <v/>
      </c>
    </row>
    <row r="1818">
      <c r="A1818" t="inlineStr">
        <is>
          <t>EMD-18433</t>
        </is>
      </c>
      <c r="B1818" t="inlineStr">
        <is>
          <t>non-amyloid</t>
        </is>
      </c>
      <c r="C1818" t="n">
        <v>7</v>
      </c>
      <c r="D1818" t="n">
        <v>6.03</v>
      </c>
      <c r="E1818" t="n">
        <v>-17.6</v>
      </c>
      <c r="F1818" t="inlineStr">
        <is>
          <t>C4</t>
        </is>
      </c>
      <c r="G1818" t="inlineStr">
        <is>
          <t>6.052550151</t>
        </is>
      </c>
      <c r="H1818" t="n">
        <v>17.56343586</v>
      </c>
      <c r="I1818" t="inlineStr">
        <is>
          <t>C4</t>
        </is>
      </c>
      <c r="J1818" t="n">
        <v>4.618553699475414</v>
      </c>
      <c r="K1818" t="inlineStr"/>
      <c r="L1818" t="n">
        <v>0.563560066</v>
      </c>
      <c r="M1818" t="n">
        <v>0.906236704</v>
      </c>
      <c r="N1818" t="inlineStr">
        <is>
          <t>Yes</t>
        </is>
      </c>
      <c r="O1818" t="inlineStr">
        <is>
          <t>improve</t>
        </is>
      </c>
      <c r="P1818" t="inlineStr">
        <is>
          <t>twist sign</t>
        </is>
      </c>
      <c r="Q1818" t="inlineStr"/>
      <c r="R1818" t="inlineStr"/>
      <c r="S1818">
        <f>HYPERLINK("https://helical-indexing-hi3d.streamlit.app/?emd_id=emd-18433&amp;rise=6.052550151&amp;twist=17.56343586&amp;csym=4&amp;rise2=6.03&amp;twist2=-17.6&amp;csym2=4", "Link")</f>
        <v/>
      </c>
    </row>
    <row r="1819">
      <c r="A1819" t="inlineStr">
        <is>
          <t>EMD-18431</t>
        </is>
      </c>
      <c r="B1819" t="inlineStr">
        <is>
          <t>non-amyloid</t>
        </is>
      </c>
      <c r="C1819" t="n">
        <v>6.7</v>
      </c>
      <c r="D1819" t="n">
        <v>3.34</v>
      </c>
      <c r="E1819" t="n">
        <v>80.3</v>
      </c>
      <c r="F1819" t="inlineStr">
        <is>
          <t>C2</t>
        </is>
      </c>
      <c r="G1819" t="inlineStr">
        <is>
          <t>3.3318683</t>
        </is>
      </c>
      <c r="H1819" t="n">
        <v>-80.27955197</v>
      </c>
      <c r="I1819" t="inlineStr">
        <is>
          <t>C2</t>
        </is>
      </c>
      <c r="J1819" t="n">
        <v>2.55568559806662</v>
      </c>
      <c r="K1819" t="inlineStr"/>
      <c r="L1819" t="n">
        <v>0.512471221</v>
      </c>
      <c r="M1819" t="n">
        <v>0.906916292</v>
      </c>
      <c r="N1819" t="inlineStr">
        <is>
          <t>Yes</t>
        </is>
      </c>
      <c r="O1819" t="inlineStr">
        <is>
          <t>equal</t>
        </is>
      </c>
      <c r="P1819" t="inlineStr">
        <is>
          <t>deposited</t>
        </is>
      </c>
      <c r="Q1819" t="inlineStr"/>
      <c r="R1819" t="inlineStr"/>
      <c r="S1819">
        <f>HYPERLINK("https://helical-indexing-hi3d.streamlit.app/?emd_id=emd-18431&amp;rise=3.3318683&amp;twist=-80.27955197&amp;csym=2&amp;rise2=3.34&amp;twist2=80.3&amp;csym2=2", "Link")</f>
        <v/>
      </c>
    </row>
    <row r="1820">
      <c r="A1820" t="inlineStr">
        <is>
          <t>EMD-18421</t>
        </is>
      </c>
      <c r="B1820" t="inlineStr">
        <is>
          <t>non-amyloid</t>
        </is>
      </c>
      <c r="C1820" t="n">
        <v>7.1</v>
      </c>
      <c r="D1820" t="n">
        <v>1.96</v>
      </c>
      <c r="E1820" t="n">
        <v>133.5</v>
      </c>
      <c r="F1820" t="inlineStr">
        <is>
          <t>C1</t>
        </is>
      </c>
      <c r="G1820" t="inlineStr">
        <is>
          <t>1.974649276</t>
        </is>
      </c>
      <c r="H1820" t="n">
        <v>133.5025332</v>
      </c>
      <c r="I1820" t="inlineStr">
        <is>
          <t>C1</t>
        </is>
      </c>
      <c r="J1820" t="n">
        <v>0.0148632665230668</v>
      </c>
      <c r="K1820" t="inlineStr"/>
      <c r="L1820" t="n">
        <v>0.925453244</v>
      </c>
      <c r="M1820" t="n">
        <v>0.927270538</v>
      </c>
      <c r="N1820" t="inlineStr">
        <is>
          <t>Yes</t>
        </is>
      </c>
      <c r="O1820" t="inlineStr">
        <is>
          <t>equal</t>
        </is>
      </c>
      <c r="P1820" t="inlineStr">
        <is>
          <t>deposited</t>
        </is>
      </c>
      <c r="Q1820" t="inlineStr"/>
      <c r="R1820" t="inlineStr"/>
      <c r="S1820">
        <f>HYPERLINK("https://helical-indexing-hi3d.streamlit.app/?emd_id=emd-18421&amp;rise=1.974649276&amp;twist=133.5025332&amp;csym=1&amp;rise2=1.96&amp;twist2=133.5&amp;csym2=1", "Link")</f>
        <v/>
      </c>
    </row>
    <row r="1821">
      <c r="A1821" t="inlineStr">
        <is>
          <t>EMD-18669</t>
        </is>
      </c>
      <c r="B1821" t="inlineStr">
        <is>
          <t>amyloid</t>
        </is>
      </c>
      <c r="C1821" t="n">
        <v>3.26</v>
      </c>
      <c r="D1821" t="n">
        <v>4.78</v>
      </c>
      <c r="E1821" t="n">
        <v>-1.22</v>
      </c>
      <c r="F1821" t="inlineStr">
        <is>
          <t>C1</t>
        </is>
      </c>
      <c r="G1821" t="inlineStr">
        <is>
          <t>4.771251753</t>
        </is>
      </c>
      <c r="H1821" t="n">
        <v>-1.191744231</v>
      </c>
      <c r="I1821" t="inlineStr">
        <is>
          <t>C1</t>
        </is>
      </c>
      <c r="J1821" t="n">
        <v>0.0125222031971471</v>
      </c>
      <c r="K1821" t="inlineStr"/>
      <c r="L1821" t="n">
        <v>0.8648788120000001</v>
      </c>
      <c r="M1821" t="n">
        <v>0.8633420000000001</v>
      </c>
      <c r="N1821" t="inlineStr">
        <is>
          <t>Yes</t>
        </is>
      </c>
      <c r="O1821" t="inlineStr">
        <is>
          <t>equal</t>
        </is>
      </c>
      <c r="P1821" t="inlineStr">
        <is>
          <t>deposited</t>
        </is>
      </c>
      <c r="Q1821" t="inlineStr"/>
      <c r="R1821" t="inlineStr"/>
      <c r="S1821">
        <f>HYPERLINK("https://helical-indexing-hi3d.streamlit.app/?emd_id=emd-18669&amp;rise=4.771251753&amp;twist=-1.191744231&amp;csym=1&amp;rise2=4.78&amp;twist2=-1.22&amp;csym2=1", "Link")</f>
        <v/>
      </c>
    </row>
    <row r="1822">
      <c r="A1822" t="inlineStr">
        <is>
          <t>EMD-51325</t>
        </is>
      </c>
      <c r="B1822" t="inlineStr">
        <is>
          <t>amyloid</t>
        </is>
      </c>
      <c r="C1822" t="n">
        <v>3.36</v>
      </c>
      <c r="D1822" t="n">
        <v>4.79</v>
      </c>
      <c r="E1822" t="n">
        <v>-0.77</v>
      </c>
      <c r="F1822" t="inlineStr">
        <is>
          <t>C1</t>
        </is>
      </c>
      <c r="G1822" t="inlineStr">
        <is>
          <t>4.784743923</t>
        </is>
      </c>
      <c r="H1822" t="n">
        <v>-0.769437453</v>
      </c>
      <c r="I1822" t="inlineStr">
        <is>
          <t>C1</t>
        </is>
      </c>
      <c r="J1822" t="n">
        <v>0.005259253</v>
      </c>
      <c r="K1822" t="inlineStr"/>
      <c r="L1822" t="n">
        <v>0.962111694</v>
      </c>
      <c r="M1822" t="n">
        <v>0.953008506</v>
      </c>
      <c r="N1822" t="inlineStr">
        <is>
          <t>Yes</t>
        </is>
      </c>
      <c r="O1822" t="inlineStr">
        <is>
          <t>equal</t>
        </is>
      </c>
      <c r="P1822" t="inlineStr">
        <is>
          <t>deposited</t>
        </is>
      </c>
      <c r="Q1822" t="inlineStr"/>
      <c r="R1822" t="inlineStr"/>
      <c r="S1822">
        <f>HYPERLINK("https://helical-indexing-hi3d.streamlit.app/?emd_id=emd-51325&amp;rise=4.784743923&amp;twist=-0.769437453&amp;csym=1&amp;rise2=4.79&amp;twist2=-0.77&amp;csym2=1", "Link")</f>
        <v/>
      </c>
    </row>
    <row r="1823">
      <c r="A1823" t="inlineStr">
        <is>
          <t>EMD-60262</t>
        </is>
      </c>
      <c r="B1823" t="inlineStr">
        <is>
          <t>amyloid</t>
        </is>
      </c>
      <c r="C1823" t="n">
        <v>2.9</v>
      </c>
      <c r="D1823" t="n">
        <v>4.80877</v>
      </c>
      <c r="E1823" t="n">
        <v>-0.778114</v>
      </c>
      <c r="F1823" t="inlineStr">
        <is>
          <t>C1</t>
        </is>
      </c>
      <c r="G1823" t="inlineStr">
        <is>
          <t>4.78666654</t>
        </is>
      </c>
      <c r="H1823" t="n">
        <v>-0.7900110420000001</v>
      </c>
      <c r="I1823" t="inlineStr">
        <is>
          <t>C2</t>
        </is>
      </c>
      <c r="J1823" t="n">
        <v>0.023237009614546</v>
      </c>
      <c r="K1823" t="inlineStr"/>
      <c r="L1823" t="n">
        <v>0.897916825</v>
      </c>
      <c r="M1823" t="n">
        <v>0.873047368</v>
      </c>
      <c r="N1823" t="inlineStr">
        <is>
          <t>Yes</t>
        </is>
      </c>
      <c r="O1823" t="inlineStr">
        <is>
          <t>equal</t>
        </is>
      </c>
      <c r="P1823" t="inlineStr">
        <is>
          <t>deposited</t>
        </is>
      </c>
      <c r="Q1823" t="inlineStr"/>
      <c r="R1823" t="inlineStr"/>
      <c r="S1823">
        <f>HYPERLINK("https://helical-indexing-hi3d.streamlit.app/?emd_id=emd-60262&amp;rise=4.78666654&amp;twist=-0.790011042&amp;csym=2&amp;rise2=4.80877&amp;twist2=-0.778114&amp;csym2=1", "Link")</f>
        <v/>
      </c>
    </row>
    <row r="1824">
      <c r="A1824" t="inlineStr">
        <is>
          <t>EMD-18384</t>
        </is>
      </c>
      <c r="B1824" t="inlineStr">
        <is>
          <t>non-amyloid</t>
        </is>
      </c>
      <c r="C1824" t="n">
        <v>5.1</v>
      </c>
      <c r="D1824" t="n">
        <v>1.79</v>
      </c>
      <c r="E1824" t="n">
        <v>124.4</v>
      </c>
      <c r="F1824" t="inlineStr">
        <is>
          <t>C1</t>
        </is>
      </c>
      <c r="G1824" t="inlineStr">
        <is>
          <t>1.813718043</t>
        </is>
      </c>
      <c r="H1824" t="n">
        <v>124.4011259</v>
      </c>
      <c r="I1824" t="inlineStr">
        <is>
          <t>C1</t>
        </is>
      </c>
      <c r="J1824" t="n">
        <v>0.023729475103558</v>
      </c>
      <c r="K1824" t="inlineStr"/>
      <c r="L1824" t="n">
        <v>0.934872028</v>
      </c>
      <c r="M1824" t="n">
        <v>0.945476471</v>
      </c>
      <c r="N1824" t="inlineStr">
        <is>
          <t>Yes</t>
        </is>
      </c>
      <c r="O1824" t="inlineStr">
        <is>
          <t>equal</t>
        </is>
      </c>
      <c r="P1824" t="inlineStr">
        <is>
          <t>deposited</t>
        </is>
      </c>
      <c r="Q1824" t="inlineStr"/>
      <c r="R1824" t="inlineStr"/>
      <c r="S1824">
        <f>HYPERLINK("https://helical-indexing-hi3d.streamlit.app/?emd_id=emd-18384&amp;rise=1.813718043&amp;twist=124.4011259&amp;csym=1&amp;rise2=1.79&amp;twist2=124.4&amp;csym2=1", "Link")</f>
        <v/>
      </c>
    </row>
    <row r="1825">
      <c r="A1825" t="inlineStr">
        <is>
          <t>EMD-38106</t>
        </is>
      </c>
      <c r="B1825" t="inlineStr">
        <is>
          <t>amyloid</t>
        </is>
      </c>
      <c r="C1825" t="n">
        <v>2.7</v>
      </c>
      <c r="D1825" t="n">
        <v>2.40104</v>
      </c>
      <c r="E1825" t="n">
        <v>-179.243</v>
      </c>
      <c r="F1825" t="inlineStr">
        <is>
          <t>C1</t>
        </is>
      </c>
      <c r="G1825" t="inlineStr">
        <is>
          <t>2.393333333</t>
        </is>
      </c>
      <c r="H1825" t="n">
        <v>-179.2201596</v>
      </c>
      <c r="I1825" t="inlineStr">
        <is>
          <t>C1</t>
        </is>
      </c>
      <c r="J1825" t="n">
        <v>0.0143835289248931</v>
      </c>
      <c r="K1825" t="inlineStr"/>
      <c r="L1825" t="n">
        <v>0.840051531</v>
      </c>
      <c r="M1825" t="n">
        <v>0.831821915</v>
      </c>
      <c r="N1825" t="inlineStr">
        <is>
          <t>Yes</t>
        </is>
      </c>
      <c r="O1825" t="inlineStr">
        <is>
          <t>equal</t>
        </is>
      </c>
      <c r="P1825" t="inlineStr">
        <is>
          <t>deposited</t>
        </is>
      </c>
      <c r="Q1825" t="inlineStr"/>
      <c r="R1825" t="inlineStr"/>
      <c r="S1825">
        <f>HYPERLINK("https://helical-indexing-hi3d.streamlit.app/?emd_id=emd-38106&amp;rise=2.393333333&amp;twist=-179.2201596&amp;csym=1&amp;rise2=2.40104&amp;twist2=-179.243&amp;csym2=1", "Link")</f>
        <v/>
      </c>
    </row>
    <row r="1826">
      <c r="A1826" t="inlineStr">
        <is>
          <t>EMD-51319</t>
        </is>
      </c>
      <c r="B1826" t="inlineStr">
        <is>
          <t>amyloid</t>
        </is>
      </c>
      <c r="C1826" t="n">
        <v>2.81</v>
      </c>
      <c r="D1826" t="n">
        <v>4.8</v>
      </c>
      <c r="E1826" t="n">
        <v>-0.63</v>
      </c>
      <c r="F1826" t="inlineStr">
        <is>
          <t>C1</t>
        </is>
      </c>
      <c r="G1826" t="inlineStr">
        <is>
          <t>4.78666663</t>
        </is>
      </c>
      <c r="H1826" t="n">
        <v>-0.636456058</v>
      </c>
      <c r="I1826" t="inlineStr">
        <is>
          <t>C1</t>
        </is>
      </c>
      <c r="J1826" t="n">
        <v>0.0137492406114861</v>
      </c>
      <c r="K1826" t="inlineStr"/>
      <c r="L1826" t="n">
        <v>0.96260074</v>
      </c>
      <c r="M1826" t="n">
        <v>0.9559066389999999</v>
      </c>
      <c r="N1826" t="inlineStr">
        <is>
          <t>Yes</t>
        </is>
      </c>
      <c r="O1826" t="inlineStr">
        <is>
          <t>equal</t>
        </is>
      </c>
      <c r="P1826" t="inlineStr">
        <is>
          <t>deposited</t>
        </is>
      </c>
      <c r="Q1826" t="inlineStr"/>
      <c r="R1826" t="inlineStr"/>
      <c r="S1826">
        <f>HYPERLINK("https://helical-indexing-hi3d.streamlit.app/?emd_id=emd-51319&amp;rise=4.78666663&amp;twist=-0.636456058&amp;csym=1&amp;rise2=4.8&amp;twist2=-0.63&amp;csym2=1", "Link")</f>
        <v/>
      </c>
    </row>
    <row r="1827">
      <c r="A1827" t="inlineStr">
        <is>
          <t>EMD-60232</t>
        </is>
      </c>
      <c r="B1827" t="inlineStr">
        <is>
          <t>amyloid</t>
        </is>
      </c>
      <c r="C1827" t="n">
        <v>3.5</v>
      </c>
      <c r="D1827" t="n">
        <v>4.79997</v>
      </c>
      <c r="E1827" t="n">
        <v>-0.861471</v>
      </c>
      <c r="F1827" t="inlineStr">
        <is>
          <t>C1</t>
        </is>
      </c>
      <c r="G1827" t="inlineStr">
        <is>
          <t>4.786666641</t>
        </is>
      </c>
      <c r="H1827" t="n">
        <v>-0.866130788</v>
      </c>
      <c r="I1827" t="inlineStr">
        <is>
          <t>C1</t>
        </is>
      </c>
      <c r="J1827" t="n">
        <v>0.0135907721302893</v>
      </c>
      <c r="K1827" t="inlineStr"/>
      <c r="L1827" t="n">
        <v>0.91658498</v>
      </c>
      <c r="M1827" t="n">
        <v>0.900457609</v>
      </c>
      <c r="N1827" t="inlineStr">
        <is>
          <t>Yes</t>
        </is>
      </c>
      <c r="O1827" t="inlineStr">
        <is>
          <t>equal</t>
        </is>
      </c>
      <c r="P1827" t="inlineStr">
        <is>
          <t>deposited</t>
        </is>
      </c>
      <c r="Q1827" t="inlineStr"/>
      <c r="R1827" t="inlineStr"/>
      <c r="S1827">
        <f>HYPERLINK("https://helical-indexing-hi3d.streamlit.app/?emd_id=emd-60232&amp;rise=4.786666641&amp;twist=-0.866130788&amp;csym=1&amp;rise2=4.79997&amp;twist2=-0.861471&amp;csym2=1", "Link")</f>
        <v/>
      </c>
    </row>
    <row r="1828">
      <c r="A1828" t="inlineStr">
        <is>
          <t>EMD-38105</t>
        </is>
      </c>
      <c r="B1828" t="inlineStr">
        <is>
          <t>amyloid</t>
        </is>
      </c>
      <c r="C1828" t="n">
        <v>3.5</v>
      </c>
      <c r="D1828" t="n">
        <v>2.42418</v>
      </c>
      <c r="E1828" t="n">
        <v>-179.346</v>
      </c>
      <c r="F1828" t="inlineStr">
        <is>
          <t>C1</t>
        </is>
      </c>
      <c r="G1828" t="inlineStr">
        <is>
          <t>2.422412178</t>
        </is>
      </c>
      <c r="H1828" t="n">
        <v>-179.3384299</v>
      </c>
      <c r="I1828" t="inlineStr">
        <is>
          <t>C1</t>
        </is>
      </c>
      <c r="J1828" t="n">
        <v>0.003835249</v>
      </c>
      <c r="K1828" t="inlineStr"/>
      <c r="L1828" t="n">
        <v>0.941246092</v>
      </c>
      <c r="M1828" t="n">
        <v>0.941873921</v>
      </c>
      <c r="N1828" t="inlineStr">
        <is>
          <t>Yes</t>
        </is>
      </c>
      <c r="O1828" t="inlineStr">
        <is>
          <t>equal</t>
        </is>
      </c>
      <c r="P1828" t="inlineStr">
        <is>
          <t>deposited</t>
        </is>
      </c>
      <c r="Q1828" t="inlineStr"/>
      <c r="R1828" t="inlineStr"/>
      <c r="S1828">
        <f>HYPERLINK("https://helical-indexing-hi3d.streamlit.app/?emd_id=emd-38105&amp;rise=2.422412178&amp;twist=-179.3384299&amp;csym=1&amp;rise2=2.42418&amp;twist2=-179.346&amp;csym2=1", "Link")</f>
        <v/>
      </c>
    </row>
    <row r="1829">
      <c r="A1829" t="inlineStr">
        <is>
          <t>EMD-38104</t>
        </is>
      </c>
      <c r="B1829" t="inlineStr">
        <is>
          <t>amyloid</t>
        </is>
      </c>
      <c r="C1829" t="n">
        <v>3</v>
      </c>
      <c r="D1829" t="n">
        <v>2.40454</v>
      </c>
      <c r="E1829" t="n">
        <v>-179.38</v>
      </c>
      <c r="F1829" t="inlineStr">
        <is>
          <t>C1</t>
        </is>
      </c>
      <c r="G1829" t="inlineStr">
        <is>
          <t>2.40526808</t>
        </is>
      </c>
      <c r="H1829" t="n">
        <v>-179.3800792</v>
      </c>
      <c r="I1829" t="inlineStr">
        <is>
          <t>C1</t>
        </is>
      </c>
      <c r="J1829" t="n">
        <v>0.000729181</v>
      </c>
      <c r="K1829" t="inlineStr"/>
      <c r="L1829" t="n">
        <v>0.919345192</v>
      </c>
      <c r="M1829" t="n">
        <v>0.918682963</v>
      </c>
      <c r="N1829" t="inlineStr">
        <is>
          <t>Yes</t>
        </is>
      </c>
      <c r="O1829" t="inlineStr">
        <is>
          <t>equal</t>
        </is>
      </c>
      <c r="P1829" t="inlineStr">
        <is>
          <t>deposited</t>
        </is>
      </c>
      <c r="Q1829" t="inlineStr"/>
      <c r="R1829" t="inlineStr"/>
      <c r="S1829">
        <f>HYPERLINK("https://helical-indexing-hi3d.streamlit.app/?emd_id=emd-38104&amp;rise=2.40526808&amp;twist=-179.3800792&amp;csym=1&amp;rise2=2.40454&amp;twist2=-179.38&amp;csym2=1", "Link")</f>
        <v/>
      </c>
    </row>
    <row r="1830">
      <c r="A1830" t="inlineStr">
        <is>
          <t>EMD-45588</t>
        </is>
      </c>
      <c r="B1830" t="inlineStr">
        <is>
          <t>amyloid</t>
        </is>
      </c>
      <c r="C1830" t="n">
        <v>2.97</v>
      </c>
      <c r="D1830" t="n">
        <v>2.369</v>
      </c>
      <c r="E1830" t="n">
        <v>179.49</v>
      </c>
      <c r="F1830" t="inlineStr">
        <is>
          <t>C1</t>
        </is>
      </c>
      <c r="G1830" t="inlineStr">
        <is>
          <t>2.366775776</t>
        </is>
      </c>
      <c r="H1830" t="n">
        <v>179.4788642</v>
      </c>
      <c r="I1830" t="inlineStr">
        <is>
          <t>C1</t>
        </is>
      </c>
      <c r="J1830" t="n">
        <v>0.003997228</v>
      </c>
      <c r="K1830" t="inlineStr"/>
      <c r="L1830" t="n">
        <v>0.7840779369999999</v>
      </c>
      <c r="M1830" t="n">
        <v>0.783310735</v>
      </c>
      <c r="N1830" t="inlineStr">
        <is>
          <t>Yes</t>
        </is>
      </c>
      <c r="O1830" t="inlineStr">
        <is>
          <t>equal</t>
        </is>
      </c>
      <c r="P1830" t="inlineStr">
        <is>
          <t>deposited</t>
        </is>
      </c>
      <c r="Q1830" t="inlineStr"/>
      <c r="R1830" t="inlineStr"/>
      <c r="S1830">
        <f>HYPERLINK("https://helical-indexing-hi3d.streamlit.app/?emd_id=emd-45588&amp;rise=2.366775776&amp;twist=179.4788642&amp;csym=1&amp;rise2=2.369&amp;twist2=179.49&amp;csym2=1", "Link")</f>
        <v/>
      </c>
    </row>
    <row r="1831">
      <c r="A1831" t="inlineStr">
        <is>
          <t>EMD-51320</t>
        </is>
      </c>
      <c r="B1831" t="inlineStr">
        <is>
          <t>amyloid</t>
        </is>
      </c>
      <c r="C1831" t="n">
        <v>2.26</v>
      </c>
      <c r="D1831" t="n">
        <v>4.76</v>
      </c>
      <c r="E1831" t="n">
        <v>-1.18</v>
      </c>
      <c r="F1831" t="inlineStr">
        <is>
          <t>C1</t>
        </is>
      </c>
      <c r="G1831" t="inlineStr">
        <is>
          <t>4.759360071</t>
        </is>
      </c>
      <c r="H1831" t="n">
        <v>-1.181872948</v>
      </c>
      <c r="I1831" t="inlineStr">
        <is>
          <t>C1</t>
        </is>
      </c>
      <c r="J1831" t="n">
        <v>0.001175466</v>
      </c>
      <c r="K1831" t="inlineStr"/>
      <c r="L1831" t="n">
        <v>0.957709903</v>
      </c>
      <c r="M1831" t="n">
        <v>0.956744741</v>
      </c>
      <c r="N1831" t="inlineStr">
        <is>
          <t>Yes</t>
        </is>
      </c>
      <c r="O1831" t="inlineStr">
        <is>
          <t>equal</t>
        </is>
      </c>
      <c r="P1831" t="inlineStr">
        <is>
          <t>deposited</t>
        </is>
      </c>
      <c r="Q1831" t="inlineStr"/>
      <c r="R1831" t="inlineStr"/>
      <c r="S1831">
        <f>HYPERLINK("https://helical-indexing-hi3d.streamlit.app/?emd_id=emd-51320&amp;rise=4.759360071&amp;twist=-1.181872948&amp;csym=1&amp;rise2=4.76&amp;twist2=-1.18&amp;csym2=1", "Link")</f>
        <v/>
      </c>
    </row>
    <row r="1832">
      <c r="A1832" t="inlineStr">
        <is>
          <t>EMD-60231</t>
        </is>
      </c>
      <c r="B1832" t="inlineStr">
        <is>
          <t>amyloid</t>
        </is>
      </c>
      <c r="C1832" t="n">
        <v>3.1</v>
      </c>
      <c r="D1832" t="n">
        <v>2.40347</v>
      </c>
      <c r="E1832" t="n">
        <v>-179.337</v>
      </c>
      <c r="F1832" t="inlineStr">
        <is>
          <t>C1</t>
        </is>
      </c>
      <c r="G1832" t="inlineStr">
        <is>
          <t>2.405732248</t>
        </is>
      </c>
      <c r="H1832" t="n">
        <v>-179.3375362</v>
      </c>
      <c r="I1832" t="inlineStr">
        <is>
          <t>C1</t>
        </is>
      </c>
      <c r="J1832" t="n">
        <v>0.002274812</v>
      </c>
      <c r="K1832" t="inlineStr"/>
      <c r="L1832" t="n">
        <v>0.885965604</v>
      </c>
      <c r="M1832" t="n">
        <v>0.882538511</v>
      </c>
      <c r="N1832" t="inlineStr">
        <is>
          <t>Yes</t>
        </is>
      </c>
      <c r="O1832" t="inlineStr">
        <is>
          <t>equal</t>
        </is>
      </c>
      <c r="P1832" t="inlineStr">
        <is>
          <t>deposited</t>
        </is>
      </c>
      <c r="Q1832" t="inlineStr"/>
      <c r="R1832" t="inlineStr"/>
      <c r="S1832">
        <f>HYPERLINK("https://helical-indexing-hi3d.streamlit.app/?emd_id=emd-60231&amp;rise=2.405732248&amp;twist=-179.3375362&amp;csym=1&amp;rise2=2.40347&amp;twist2=-179.337&amp;csym2=1", "Link")</f>
        <v/>
      </c>
    </row>
    <row r="1833">
      <c r="A1833" t="inlineStr">
        <is>
          <t>EMD-18322</t>
        </is>
      </c>
      <c r="B1833" t="inlineStr">
        <is>
          <t>non-amyloid</t>
        </is>
      </c>
      <c r="C1833" t="n">
        <v>3.67</v>
      </c>
      <c r="D1833" t="n">
        <v>2.159955</v>
      </c>
      <c r="E1833" t="n">
        <v>85.49485</v>
      </c>
      <c r="F1833" t="inlineStr">
        <is>
          <t>C1</t>
        </is>
      </c>
      <c r="G1833" t="inlineStr">
        <is>
          <t>2.154609768</t>
        </is>
      </c>
      <c r="H1833" t="n">
        <v>85.49467356</v>
      </c>
      <c r="I1833" t="inlineStr">
        <is>
          <t>C1</t>
        </is>
      </c>
      <c r="J1833" t="n">
        <v>0.005349493</v>
      </c>
      <c r="K1833" t="inlineStr"/>
      <c r="L1833" t="n">
        <v>0.733506126</v>
      </c>
      <c r="M1833" t="n">
        <v>0.740149867</v>
      </c>
      <c r="N1833" t="inlineStr">
        <is>
          <t>Yes</t>
        </is>
      </c>
      <c r="O1833" t="inlineStr">
        <is>
          <t>equal</t>
        </is>
      </c>
      <c r="P1833" t="inlineStr">
        <is>
          <t>deposited</t>
        </is>
      </c>
      <c r="Q1833" t="inlineStr"/>
      <c r="R1833" t="inlineStr"/>
      <c r="S1833">
        <f>HYPERLINK("https://helical-indexing-hi3d.streamlit.app/?emd_id=emd-18322&amp;rise=2.154609768&amp;twist=85.49467356&amp;csym=1&amp;rise2=2.159955&amp;twist2=85.49485&amp;csym2=1", "Link")</f>
        <v/>
      </c>
    </row>
    <row r="1834">
      <c r="A1834" t="inlineStr">
        <is>
          <t>EMD-18319</t>
        </is>
      </c>
      <c r="B1834" t="inlineStr">
        <is>
          <t>non-amyloid</t>
        </is>
      </c>
      <c r="C1834" t="n">
        <v>3.67</v>
      </c>
      <c r="D1834" t="n">
        <v>2.440385</v>
      </c>
      <c r="E1834" t="n">
        <v>-75.83495000000001</v>
      </c>
      <c r="F1834" t="inlineStr">
        <is>
          <t>C1</t>
        </is>
      </c>
      <c r="G1834" t="inlineStr">
        <is>
          <t>2.435123552</t>
        </is>
      </c>
      <c r="H1834" t="n">
        <v>-75.83869274</v>
      </c>
      <c r="I1834" t="inlineStr">
        <is>
          <t>C1</t>
        </is>
      </c>
      <c r="J1834" t="n">
        <v>0.00622174</v>
      </c>
      <c r="K1834" t="inlineStr"/>
      <c r="L1834" t="n">
        <v>0.796169298</v>
      </c>
      <c r="M1834" t="n">
        <v>0.793983642</v>
      </c>
      <c r="N1834" t="inlineStr">
        <is>
          <t>Yes</t>
        </is>
      </c>
      <c r="O1834" t="inlineStr">
        <is>
          <t>equal</t>
        </is>
      </c>
      <c r="P1834" t="inlineStr">
        <is>
          <t>deposited</t>
        </is>
      </c>
      <c r="Q1834" t="inlineStr"/>
      <c r="R1834" t="inlineStr"/>
      <c r="S1834">
        <f>HYPERLINK("https://helical-indexing-hi3d.streamlit.app/?emd_id=emd-18319&amp;rise=2.435123552&amp;twist=-75.83869274&amp;csym=1&amp;rise2=2.440385&amp;twist2=-75.83495&amp;csym2=1", "Link")</f>
        <v/>
      </c>
    </row>
    <row r="1835">
      <c r="A1835" t="inlineStr">
        <is>
          <t>EMD-45589</t>
        </is>
      </c>
      <c r="B1835" t="inlineStr">
        <is>
          <t>amyloid</t>
        </is>
      </c>
      <c r="C1835" t="n">
        <v>2.69</v>
      </c>
      <c r="D1835" t="n">
        <v>2.376</v>
      </c>
      <c r="E1835" t="n">
        <v>179.51</v>
      </c>
      <c r="F1835" t="inlineStr">
        <is>
          <t>C1</t>
        </is>
      </c>
      <c r="G1835" t="inlineStr">
        <is>
          <t>2.374095629</t>
        </is>
      </c>
      <c r="H1835" t="n">
        <v>179.4979428</v>
      </c>
      <c r="I1835" t="inlineStr">
        <is>
          <t>C1</t>
        </is>
      </c>
      <c r="J1835" t="n">
        <v>0.004178005</v>
      </c>
      <c r="K1835" t="inlineStr"/>
      <c r="L1835" t="n">
        <v>0.79939616</v>
      </c>
      <c r="M1835" t="n">
        <v>0.797622603</v>
      </c>
      <c r="N1835" t="inlineStr">
        <is>
          <t>Yes</t>
        </is>
      </c>
      <c r="O1835" t="inlineStr">
        <is>
          <t>equal</t>
        </is>
      </c>
      <c r="P1835" t="inlineStr">
        <is>
          <t>deposited</t>
        </is>
      </c>
      <c r="Q1835" t="inlineStr"/>
      <c r="R1835" t="inlineStr"/>
      <c r="S1835">
        <f>HYPERLINK("https://helical-indexing-hi3d.streamlit.app/?emd_id=emd-45589&amp;rise=2.374095629&amp;twist=179.4979428&amp;csym=1&amp;rise2=2.376&amp;twist2=179.51&amp;csym2=1", "Link")</f>
        <v/>
      </c>
    </row>
    <row r="1836">
      <c r="A1836" t="inlineStr">
        <is>
          <t>EMD-38107</t>
        </is>
      </c>
      <c r="B1836" t="inlineStr">
        <is>
          <t>amyloid</t>
        </is>
      </c>
      <c r="C1836" t="n">
        <v>2.7</v>
      </c>
      <c r="D1836" t="n">
        <v>2.40476</v>
      </c>
      <c r="E1836" t="n">
        <v>-179.26</v>
      </c>
      <c r="F1836" t="inlineStr">
        <is>
          <t>C1</t>
        </is>
      </c>
      <c r="G1836" t="inlineStr">
        <is>
          <t>2.405312561</t>
        </is>
      </c>
      <c r="H1836" t="n">
        <v>-179.2584156</v>
      </c>
      <c r="I1836" t="inlineStr">
        <is>
          <t>C1</t>
        </is>
      </c>
      <c r="J1836" t="n">
        <v>0.000951936</v>
      </c>
      <c r="K1836" t="inlineStr"/>
      <c r="L1836" t="n">
        <v>0.93035609</v>
      </c>
      <c r="M1836" t="n">
        <v>0.930245109</v>
      </c>
      <c r="N1836" t="inlineStr">
        <is>
          <t>Yes</t>
        </is>
      </c>
      <c r="O1836" t="inlineStr">
        <is>
          <t>equal</t>
        </is>
      </c>
      <c r="P1836" t="inlineStr">
        <is>
          <t>deposited</t>
        </is>
      </c>
      <c r="Q1836" t="inlineStr"/>
      <c r="R1836" t="inlineStr"/>
      <c r="S1836">
        <f>HYPERLINK("https://helical-indexing-hi3d.streamlit.app/?emd_id=emd-38107&amp;rise=2.405312561&amp;twist=-179.2584156&amp;csym=1&amp;rise2=2.40476&amp;twist2=-179.26&amp;csym2=1", "Link")</f>
        <v/>
      </c>
    </row>
    <row r="1837">
      <c r="A1837" t="inlineStr">
        <is>
          <t>EMD-60226</t>
        </is>
      </c>
      <c r="B1837" t="inlineStr">
        <is>
          <t>amyloid</t>
        </is>
      </c>
      <c r="C1837" t="n">
        <v>3.4</v>
      </c>
      <c r="D1837" t="n">
        <v>2.40514</v>
      </c>
      <c r="E1837" t="n">
        <v>-179.403</v>
      </c>
      <c r="F1837" t="inlineStr">
        <is>
          <t>C1</t>
        </is>
      </c>
      <c r="G1837" t="inlineStr">
        <is>
          <t>2.414796516</t>
        </is>
      </c>
      <c r="H1837" t="n">
        <v>-179.4014693</v>
      </c>
      <c r="I1837" t="inlineStr">
        <is>
          <t>C1</t>
        </is>
      </c>
      <c r="J1837" t="n">
        <v>0.009679498</v>
      </c>
      <c r="K1837" t="inlineStr"/>
      <c r="L1837" t="n">
        <v>0.889227519</v>
      </c>
      <c r="M1837" t="n">
        <v>0.873588934</v>
      </c>
      <c r="N1837" t="inlineStr">
        <is>
          <t>Yes</t>
        </is>
      </c>
      <c r="O1837" t="inlineStr">
        <is>
          <t>equal</t>
        </is>
      </c>
      <c r="P1837" t="inlineStr">
        <is>
          <t>deposited</t>
        </is>
      </c>
      <c r="Q1837" t="inlineStr"/>
      <c r="R1837" t="inlineStr"/>
      <c r="S1837">
        <f>HYPERLINK("https://helical-indexing-hi3d.streamlit.app/?emd_id=emd-60226&amp;rise=2.414796516&amp;twist=-179.4014693&amp;csym=1&amp;rise2=2.40514&amp;twist2=-179.403&amp;csym2=1", "Link")</f>
        <v/>
      </c>
    </row>
    <row r="1838">
      <c r="A1838" t="inlineStr">
        <is>
          <t>EMD-19051</t>
        </is>
      </c>
      <c r="B1838" t="inlineStr">
        <is>
          <t>non-amyloid</t>
        </is>
      </c>
      <c r="C1838" t="n">
        <v>3.4</v>
      </c>
      <c r="D1838" t="n">
        <v>15.8</v>
      </c>
      <c r="E1838" t="n">
        <v>56</v>
      </c>
      <c r="F1838" t="inlineStr">
        <is>
          <t>C1</t>
        </is>
      </c>
      <c r="G1838" t="inlineStr">
        <is>
          <t>15.66867503</t>
        </is>
      </c>
      <c r="H1838" t="n">
        <v>55.96046243</v>
      </c>
      <c r="I1838" t="inlineStr">
        <is>
          <t>C1</t>
        </is>
      </c>
      <c r="J1838" t="n">
        <v>0.1315026041013974</v>
      </c>
      <c r="K1838" t="inlineStr"/>
      <c r="L1838" t="n">
        <v>0.862795919</v>
      </c>
      <c r="M1838" t="n">
        <v>0.888374174</v>
      </c>
      <c r="N1838" t="inlineStr">
        <is>
          <t>Yes</t>
        </is>
      </c>
      <c r="O1838" t="inlineStr">
        <is>
          <t>equal</t>
        </is>
      </c>
      <c r="P1838" t="inlineStr">
        <is>
          <t>deposited</t>
        </is>
      </c>
      <c r="Q1838" t="inlineStr"/>
      <c r="R1838" t="inlineStr"/>
      <c r="S1838">
        <f>HYPERLINK("https://helical-indexing-hi3d.streamlit.app/?emd_id=emd-19051&amp;rise=15.66867503&amp;twist=55.96046243&amp;csym=1&amp;rise2=15.8&amp;twist2=56.0&amp;csym2=1", "Link")</f>
        <v/>
      </c>
    </row>
    <row r="1839">
      <c r="A1839" t="inlineStr">
        <is>
          <t>EMD-60712</t>
        </is>
      </c>
      <c r="B1839" t="inlineStr">
        <is>
          <t>non-amyloid</t>
        </is>
      </c>
      <c r="C1839" t="n">
        <v>3.6</v>
      </c>
      <c r="D1839" t="n">
        <v>39</v>
      </c>
      <c r="E1839" t="n">
        <v>40</v>
      </c>
      <c r="F1839" t="inlineStr">
        <is>
          <t>C3</t>
        </is>
      </c>
      <c r="G1839" t="inlineStr">
        <is>
          <t>40.86794051</t>
        </is>
      </c>
      <c r="H1839" t="n">
        <v>38.8157991</v>
      </c>
      <c r="I1839" t="inlineStr">
        <is>
          <t>C3</t>
        </is>
      </c>
      <c r="J1839" t="n">
        <v>1.878655764277544</v>
      </c>
      <c r="K1839" t="inlineStr"/>
      <c r="L1839" t="n">
        <v>0.617912849</v>
      </c>
      <c r="M1839" t="n">
        <v>0.87874091</v>
      </c>
      <c r="N1839" t="inlineStr">
        <is>
          <t>Yes</t>
        </is>
      </c>
      <c r="O1839" t="inlineStr">
        <is>
          <t>improve</t>
        </is>
      </c>
      <c r="P1839" t="inlineStr">
        <is>
          <t>interchanged values</t>
        </is>
      </c>
      <c r="Q1839" t="inlineStr"/>
      <c r="R1839" t="inlineStr"/>
      <c r="S1839">
        <f>HYPERLINK("https://helical-indexing-hi3d.streamlit.app/?emd_id=emd-60712&amp;rise=40.86794051&amp;twist=38.8157991&amp;csym=3&amp;rise2=39.0&amp;twist2=40.0&amp;csym2=3", "Link")</f>
        <v/>
      </c>
    </row>
    <row r="1840">
      <c r="A1840" t="inlineStr">
        <is>
          <t>EMD-19050</t>
        </is>
      </c>
      <c r="B1840" t="inlineStr">
        <is>
          <t>non-amyloid</t>
        </is>
      </c>
      <c r="C1840" t="n">
        <v>3.2</v>
      </c>
      <c r="D1840" t="n">
        <v>16.2</v>
      </c>
      <c r="E1840" t="n">
        <v>56.3</v>
      </c>
      <c r="F1840" t="inlineStr">
        <is>
          <t>C1</t>
        </is>
      </c>
      <c r="G1840" t="inlineStr">
        <is>
          <t>16.31922441</t>
        </is>
      </c>
      <c r="H1840" t="n">
        <v>56.75921859</v>
      </c>
      <c r="I1840" t="inlineStr">
        <is>
          <t>C1</t>
        </is>
      </c>
      <c r="J1840" t="n">
        <v>0.1537352836508224</v>
      </c>
      <c r="K1840" t="inlineStr"/>
      <c r="L1840" t="n">
        <v>0.717339712</v>
      </c>
      <c r="M1840" t="n">
        <v>0.849896132</v>
      </c>
      <c r="N1840" t="inlineStr">
        <is>
          <t>Yes</t>
        </is>
      </c>
      <c r="O1840" t="inlineStr">
        <is>
          <t>equal</t>
        </is>
      </c>
      <c r="P1840" t="inlineStr">
        <is>
          <t>deposited</t>
        </is>
      </c>
      <c r="Q1840" t="inlineStr"/>
      <c r="R1840" t="inlineStr"/>
      <c r="S1840">
        <f>HYPERLINK("https://helical-indexing-hi3d.streamlit.app/?emd_id=emd-19050&amp;rise=16.31922441&amp;twist=56.75921859&amp;csym=1&amp;rise2=16.2&amp;twist2=56.3&amp;csym2=1", "Link")</f>
        <v/>
      </c>
    </row>
    <row r="1841">
      <c r="A1841" t="inlineStr">
        <is>
          <t>EMD-18570</t>
        </is>
      </c>
      <c r="B1841" t="inlineStr">
        <is>
          <t>amyloid</t>
        </is>
      </c>
      <c r="C1841" t="n">
        <v>2.5</v>
      </c>
      <c r="D1841" t="n">
        <v>2.44</v>
      </c>
      <c r="E1841" t="n">
        <v>179.43</v>
      </c>
      <c r="F1841" t="inlineStr">
        <is>
          <t>C1</t>
        </is>
      </c>
      <c r="G1841" t="inlineStr">
        <is>
          <t>2.437506563</t>
        </is>
      </c>
      <c r="H1841" t="n">
        <v>179.4166632</v>
      </c>
      <c r="I1841" t="inlineStr">
        <is>
          <t>C1</t>
        </is>
      </c>
      <c r="J1841" t="n">
        <v>0.005807384</v>
      </c>
      <c r="K1841" t="inlineStr"/>
      <c r="L1841" t="n">
        <v>0.95091992</v>
      </c>
      <c r="M1841" t="n">
        <v>0.9529088100000001</v>
      </c>
      <c r="N1841" t="inlineStr">
        <is>
          <t>Yes</t>
        </is>
      </c>
      <c r="O1841" t="inlineStr">
        <is>
          <t>equal</t>
        </is>
      </c>
      <c r="P1841" t="inlineStr">
        <is>
          <t>deposited</t>
        </is>
      </c>
      <c r="Q1841" t="inlineStr"/>
      <c r="R1841" t="inlineStr"/>
      <c r="S1841">
        <f>HYPERLINK("https://helical-indexing-hi3d.streamlit.app/?emd_id=emd-18570&amp;rise=2.437506563&amp;twist=179.4166632&amp;csym=1&amp;rise2=2.44&amp;twist2=179.43&amp;csym2=1", "Link")</f>
        <v/>
      </c>
    </row>
    <row r="1842">
      <c r="A1842" t="inlineStr">
        <is>
          <t>EMD-42463</t>
        </is>
      </c>
      <c r="B1842" t="inlineStr">
        <is>
          <t>amyloid</t>
        </is>
      </c>
      <c r="C1842" t="n">
        <v>2.31</v>
      </c>
      <c r="D1842" t="n">
        <v>2.38</v>
      </c>
      <c r="E1842" t="n">
        <v>179.46</v>
      </c>
      <c r="F1842" t="inlineStr">
        <is>
          <t>C1</t>
        </is>
      </c>
      <c r="G1842" t="inlineStr">
        <is>
          <t>2.37487276</t>
        </is>
      </c>
      <c r="H1842" t="n">
        <v>179.4559196</v>
      </c>
      <c r="I1842" t="inlineStr">
        <is>
          <t>C1</t>
        </is>
      </c>
      <c r="J1842" t="n">
        <v>0.005459158</v>
      </c>
      <c r="K1842" t="inlineStr"/>
      <c r="L1842" t="n">
        <v>0.963733732</v>
      </c>
      <c r="M1842" t="n">
        <v>0.952030448</v>
      </c>
      <c r="N1842" t="inlineStr">
        <is>
          <t>Yes</t>
        </is>
      </c>
      <c r="O1842" t="inlineStr">
        <is>
          <t>equal</t>
        </is>
      </c>
      <c r="P1842" t="inlineStr">
        <is>
          <t>deposited</t>
        </is>
      </c>
      <c r="Q1842" t="inlineStr"/>
      <c r="R1842" t="inlineStr"/>
      <c r="S1842">
        <f>HYPERLINK("https://helical-indexing-hi3d.streamlit.app/?emd_id=emd-42463&amp;rise=2.37487276&amp;twist=179.4559196&amp;csym=1&amp;rise2=2.38&amp;twist2=179.46&amp;csym2=1", "Link")</f>
        <v/>
      </c>
    </row>
    <row r="1843">
      <c r="A1843" t="inlineStr">
        <is>
          <t>EMD-45500</t>
        </is>
      </c>
      <c r="B1843" t="inlineStr">
        <is>
          <t>non-amyloid</t>
        </is>
      </c>
      <c r="C1843" t="n">
        <v>2.22</v>
      </c>
      <c r="D1843" t="n">
        <v>4.778</v>
      </c>
      <c r="E1843" t="n">
        <v>65.923</v>
      </c>
      <c r="F1843" t="inlineStr">
        <is>
          <t>C1</t>
        </is>
      </c>
      <c r="G1843" t="inlineStr">
        <is>
          <t>4.778050728</t>
        </is>
      </c>
      <c r="H1843" t="n">
        <v>65.92247313999999</v>
      </c>
      <c r="I1843" t="inlineStr">
        <is>
          <t>C1</t>
        </is>
      </c>
      <c r="J1843" t="n">
        <v>0.000284085</v>
      </c>
      <c r="K1843" t="inlineStr"/>
      <c r="L1843" t="n">
        <v>0.962961158</v>
      </c>
      <c r="M1843" t="n">
        <v>0.962865241</v>
      </c>
      <c r="N1843" t="inlineStr">
        <is>
          <t>Yes</t>
        </is>
      </c>
      <c r="O1843" t="inlineStr">
        <is>
          <t>equal</t>
        </is>
      </c>
      <c r="P1843" t="inlineStr">
        <is>
          <t>deposited</t>
        </is>
      </c>
      <c r="Q1843" t="inlineStr"/>
      <c r="R1843" t="inlineStr"/>
      <c r="S1843">
        <f>HYPERLINK("https://helical-indexing-hi3d.streamlit.app/?emd_id=emd-45500&amp;rise=4.778050728&amp;twist=65.92247314&amp;csym=1&amp;rise2=4.778&amp;twist2=65.923&amp;csym2=1", "Link")</f>
        <v/>
      </c>
    </row>
    <row r="1844">
      <c r="A1844" t="inlineStr">
        <is>
          <t>EMD-37199</t>
        </is>
      </c>
      <c r="B1844" t="inlineStr">
        <is>
          <t>amyloid</t>
        </is>
      </c>
      <c r="C1844" t="n">
        <v>3.4</v>
      </c>
      <c r="D1844" t="n">
        <v>2.389</v>
      </c>
      <c r="E1844" t="n">
        <v>178.48</v>
      </c>
      <c r="F1844" t="inlineStr">
        <is>
          <t>C1</t>
        </is>
      </c>
      <c r="G1844" t="inlineStr">
        <is>
          <t>2.393333193</t>
        </is>
      </c>
      <c r="H1844" t="n">
        <v>178.47011</v>
      </c>
      <c r="I1844" t="inlineStr">
        <is>
          <t>C1</t>
        </is>
      </c>
      <c r="J1844" t="n">
        <v>0.005360275</v>
      </c>
      <c r="K1844" t="inlineStr"/>
      <c r="L1844" t="n">
        <v>0.961211898</v>
      </c>
      <c r="M1844" t="n">
        <v>0.9476994480000001</v>
      </c>
      <c r="N1844" t="inlineStr">
        <is>
          <t>Yes</t>
        </is>
      </c>
      <c r="O1844" t="inlineStr">
        <is>
          <t>equal</t>
        </is>
      </c>
      <c r="P1844" t="inlineStr">
        <is>
          <t>deposited</t>
        </is>
      </c>
      <c r="Q1844" t="inlineStr"/>
      <c r="R1844" t="inlineStr"/>
      <c r="S1844">
        <f>HYPERLINK("https://helical-indexing-hi3d.streamlit.app/?emd_id=emd-37199&amp;rise=2.393333193&amp;twist=178.47011&amp;csym=1&amp;rise2=2.389&amp;twist2=178.48&amp;csym2=1", "Link")</f>
        <v/>
      </c>
    </row>
    <row r="1845">
      <c r="A1845" t="inlineStr">
        <is>
          <t>EMD-37197</t>
        </is>
      </c>
      <c r="B1845" t="inlineStr">
        <is>
          <t>amyloid</t>
        </is>
      </c>
      <c r="C1845" t="n">
        <v>3.5</v>
      </c>
      <c r="D1845" t="n">
        <v>4.81</v>
      </c>
      <c r="E1845" t="n">
        <v>-1.91</v>
      </c>
      <c r="F1845" t="inlineStr">
        <is>
          <t>C1</t>
        </is>
      </c>
      <c r="G1845" t="inlineStr">
        <is>
          <t>4.819462356</t>
        </is>
      </c>
      <c r="H1845" t="n">
        <v>-1.965140502</v>
      </c>
      <c r="I1845" t="inlineStr">
        <is>
          <t>C1</t>
        </is>
      </c>
      <c r="J1845" t="n">
        <v>0.0266752175663228</v>
      </c>
      <c r="K1845" t="inlineStr"/>
      <c r="L1845" t="n">
        <v>0.930506156</v>
      </c>
      <c r="M1845" t="n">
        <v>0.948379243</v>
      </c>
      <c r="N1845" t="inlineStr">
        <is>
          <t>Yes</t>
        </is>
      </c>
      <c r="O1845" t="inlineStr">
        <is>
          <t>equal</t>
        </is>
      </c>
      <c r="P1845" t="inlineStr">
        <is>
          <t>deposited</t>
        </is>
      </c>
      <c r="Q1845" t="inlineStr"/>
      <c r="R1845" t="inlineStr"/>
      <c r="S1845">
        <f>HYPERLINK("https://helical-indexing-hi3d.streamlit.app/?emd_id=emd-37197&amp;rise=4.819462356&amp;twist=-1.965140502&amp;csym=1&amp;rise2=4.81&amp;twist2=-1.91&amp;csym2=1", "Link")</f>
        <v/>
      </c>
    </row>
    <row r="1846">
      <c r="A1846" t="inlineStr">
        <is>
          <t>EMD-37195</t>
        </is>
      </c>
      <c r="B1846" t="inlineStr">
        <is>
          <t>amyloid</t>
        </is>
      </c>
      <c r="C1846" t="n">
        <v>3.3</v>
      </c>
      <c r="D1846" t="n">
        <v>2.396</v>
      </c>
      <c r="E1846" t="n">
        <v>178.54</v>
      </c>
      <c r="F1846" t="inlineStr">
        <is>
          <t>C1</t>
        </is>
      </c>
      <c r="G1846" t="inlineStr">
        <is>
          <t>2.393333314</t>
        </is>
      </c>
      <c r="H1846" t="n">
        <v>178.5521293</v>
      </c>
      <c r="I1846" t="inlineStr">
        <is>
          <t>C1</t>
        </is>
      </c>
      <c r="J1846" t="n">
        <v>0.00444419</v>
      </c>
      <c r="K1846" t="inlineStr"/>
      <c r="L1846" t="n">
        <v>0.953386229</v>
      </c>
      <c r="M1846" t="n">
        <v>0.959055158</v>
      </c>
      <c r="N1846" t="inlineStr">
        <is>
          <t>Yes</t>
        </is>
      </c>
      <c r="O1846" t="inlineStr">
        <is>
          <t>equal</t>
        </is>
      </c>
      <c r="P1846" t="inlineStr">
        <is>
          <t>deposited</t>
        </is>
      </c>
      <c r="Q1846" t="inlineStr"/>
      <c r="R1846" t="inlineStr"/>
      <c r="S1846">
        <f>HYPERLINK("https://helical-indexing-hi3d.streamlit.app/?emd_id=emd-37195&amp;rise=2.393333314&amp;twist=178.5521293&amp;csym=1&amp;rise2=2.396&amp;twist2=178.54&amp;csym2=1", "Link")</f>
        <v/>
      </c>
    </row>
    <row r="1847">
      <c r="A1847" t="inlineStr">
        <is>
          <t>EMD-37198</t>
        </is>
      </c>
      <c r="B1847" t="inlineStr">
        <is>
          <t>amyloid</t>
        </is>
      </c>
      <c r="C1847" t="n">
        <v>3</v>
      </c>
      <c r="D1847" t="n">
        <v>2.39</v>
      </c>
      <c r="E1847" t="n">
        <v>178.48</v>
      </c>
      <c r="F1847" t="inlineStr">
        <is>
          <t>C1</t>
        </is>
      </c>
      <c r="G1847" t="inlineStr">
        <is>
          <t>2.393333082</t>
        </is>
      </c>
      <c r="H1847" t="n">
        <v>178.4734051</v>
      </c>
      <c r="I1847" t="inlineStr">
        <is>
          <t>C1</t>
        </is>
      </c>
      <c r="J1847" t="n">
        <v>0.003869953</v>
      </c>
      <c r="K1847" t="inlineStr"/>
      <c r="L1847" t="n">
        <v>0.958733963</v>
      </c>
      <c r="M1847" t="n">
        <v>0.947087436</v>
      </c>
      <c r="N1847" t="inlineStr">
        <is>
          <t>Yes</t>
        </is>
      </c>
      <c r="O1847" t="inlineStr">
        <is>
          <t>equal</t>
        </is>
      </c>
      <c r="P1847" t="inlineStr">
        <is>
          <t>deposited</t>
        </is>
      </c>
      <c r="Q1847" t="inlineStr"/>
      <c r="R1847" t="inlineStr"/>
      <c r="S1847">
        <f>HYPERLINK("https://helical-indexing-hi3d.streamlit.app/?emd_id=emd-37198&amp;rise=2.393333082&amp;twist=178.4734051&amp;csym=1&amp;rise2=2.39&amp;twist2=178.48&amp;csym2=1", "Link")</f>
        <v/>
      </c>
    </row>
    <row r="1848">
      <c r="A1848" t="inlineStr">
        <is>
          <t>EMD-37200</t>
        </is>
      </c>
      <c r="B1848" t="inlineStr">
        <is>
          <t>amyloid</t>
        </is>
      </c>
      <c r="C1848" t="n">
        <v>3.7</v>
      </c>
      <c r="D1848" t="n">
        <v>4.81</v>
      </c>
      <c r="E1848" t="n">
        <v>-1.92</v>
      </c>
      <c r="F1848" t="inlineStr">
        <is>
          <t>C1</t>
        </is>
      </c>
      <c r="G1848" t="inlineStr">
        <is>
          <t>4.786666664</t>
        </is>
      </c>
      <c r="H1848" t="n">
        <v>-1.927735521</v>
      </c>
      <c r="I1848" t="inlineStr">
        <is>
          <t>C1</t>
        </is>
      </c>
      <c r="J1848" t="n">
        <v>0.0236390529513928</v>
      </c>
      <c r="K1848" t="inlineStr"/>
      <c r="L1848" t="n">
        <v>0.9595132629999999</v>
      </c>
      <c r="M1848" t="n">
        <v>0.928731238</v>
      </c>
      <c r="N1848" t="inlineStr">
        <is>
          <t>Yes</t>
        </is>
      </c>
      <c r="O1848" t="inlineStr">
        <is>
          <t>equal</t>
        </is>
      </c>
      <c r="P1848" t="inlineStr">
        <is>
          <t>deposited</t>
        </is>
      </c>
      <c r="Q1848" t="inlineStr"/>
      <c r="R1848" t="inlineStr"/>
      <c r="S1848">
        <f>HYPERLINK("https://helical-indexing-hi3d.streamlit.app/?emd_id=emd-37200&amp;rise=4.786666664&amp;twist=-1.927735521&amp;csym=1&amp;rise2=4.81&amp;twist2=-1.92&amp;csym2=1", "Link")</f>
        <v/>
      </c>
    </row>
    <row r="1849">
      <c r="A1849" t="inlineStr">
        <is>
          <t>EMD-45005</t>
        </is>
      </c>
      <c r="B1849" t="inlineStr">
        <is>
          <t>amyloid</t>
        </is>
      </c>
      <c r="C1849" t="n">
        <v>2.7</v>
      </c>
      <c r="D1849" t="n">
        <v>2.39</v>
      </c>
      <c r="E1849" t="n">
        <v>179.45</v>
      </c>
      <c r="F1849" t="inlineStr">
        <is>
          <t>C1</t>
        </is>
      </c>
      <c r="G1849" t="inlineStr">
        <is>
          <t>2.39333301</t>
        </is>
      </c>
      <c r="H1849" t="n">
        <v>179.4059482</v>
      </c>
      <c r="I1849" t="inlineStr">
        <is>
          <t>C1</t>
        </is>
      </c>
      <c r="J1849" t="n">
        <v>0.017834465</v>
      </c>
      <c r="K1849" t="inlineStr"/>
      <c r="L1849" t="n">
        <v>0.82050589</v>
      </c>
      <c r="M1849" t="n">
        <v>0.823883509</v>
      </c>
      <c r="N1849" t="inlineStr">
        <is>
          <t>Yes</t>
        </is>
      </c>
      <c r="O1849" t="inlineStr">
        <is>
          <t>equal</t>
        </is>
      </c>
      <c r="P1849" t="inlineStr">
        <is>
          <t>deposited</t>
        </is>
      </c>
      <c r="Q1849" t="inlineStr"/>
      <c r="R1849" t="inlineStr"/>
      <c r="S1849">
        <f>HYPERLINK("https://helical-indexing-hi3d.streamlit.app/?emd_id=emd-45005&amp;rise=2.39333301&amp;twist=179.4059482&amp;csym=1&amp;rise2=2.39&amp;twist2=179.45&amp;csym2=1", "Link")</f>
        <v/>
      </c>
    </row>
    <row r="1850">
      <c r="A1850" t="inlineStr">
        <is>
          <t>EMD-17729</t>
        </is>
      </c>
      <c r="B1850" t="inlineStr">
        <is>
          <t>non-amyloid</t>
        </is>
      </c>
      <c r="C1850" t="n">
        <v>2.52</v>
      </c>
      <c r="D1850" t="n">
        <v>2.782</v>
      </c>
      <c r="E1850" t="n">
        <v>-164.175</v>
      </c>
      <c r="F1850" t="inlineStr">
        <is>
          <t>C1</t>
        </is>
      </c>
      <c r="G1850" t="inlineStr">
        <is>
          <t>2.787248093</t>
        </is>
      </c>
      <c r="H1850" t="n">
        <v>-164.1794487</v>
      </c>
      <c r="I1850" t="inlineStr">
        <is>
          <t>C1</t>
        </is>
      </c>
      <c r="J1850" t="n">
        <v>0.005522446</v>
      </c>
      <c r="K1850" t="inlineStr"/>
      <c r="L1850" t="n">
        <v>0.926434365</v>
      </c>
      <c r="M1850" t="n">
        <v>0.924531361</v>
      </c>
      <c r="N1850" t="inlineStr">
        <is>
          <t>Yes</t>
        </is>
      </c>
      <c r="O1850" t="inlineStr">
        <is>
          <t>equal</t>
        </is>
      </c>
      <c r="P1850" t="inlineStr">
        <is>
          <t>deposited</t>
        </is>
      </c>
      <c r="Q1850" t="inlineStr"/>
      <c r="R1850" t="inlineStr"/>
      <c r="S1850">
        <f>HYPERLINK("https://helical-indexing-hi3d.streamlit.app/?emd_id=emd-17729&amp;rise=2.787248093&amp;twist=-164.1794487&amp;csym=1&amp;rise2=2.782&amp;twist2=-164.175&amp;csym2=1", "Link")</f>
        <v/>
      </c>
    </row>
    <row r="1851">
      <c r="A1851" t="inlineStr">
        <is>
          <t>EMD-45007</t>
        </is>
      </c>
      <c r="B1851" t="inlineStr">
        <is>
          <t>amyloid</t>
        </is>
      </c>
      <c r="C1851" t="n">
        <v>3</v>
      </c>
      <c r="D1851" t="n">
        <v>4.81</v>
      </c>
      <c r="E1851" t="n">
        <v>-1.08</v>
      </c>
      <c r="F1851" t="inlineStr">
        <is>
          <t>C1</t>
        </is>
      </c>
      <c r="G1851" t="inlineStr">
        <is>
          <t>4.786666665</t>
        </is>
      </c>
      <c r="H1851" t="n">
        <v>-1.125397194</v>
      </c>
      <c r="I1851" t="inlineStr">
        <is>
          <t>C1</t>
        </is>
      </c>
      <c r="J1851" t="n">
        <v>0.033815012676443</v>
      </c>
      <c r="K1851" t="inlineStr"/>
      <c r="L1851" t="n">
        <v>0.8153300570000001</v>
      </c>
      <c r="M1851" t="n">
        <v>0.808799465</v>
      </c>
      <c r="N1851" t="inlineStr">
        <is>
          <t>Yes</t>
        </is>
      </c>
      <c r="O1851" t="inlineStr">
        <is>
          <t>equal</t>
        </is>
      </c>
      <c r="P1851" t="inlineStr">
        <is>
          <t>deposited</t>
        </is>
      </c>
      <c r="Q1851" t="inlineStr"/>
      <c r="R1851" t="inlineStr"/>
      <c r="S1851">
        <f>HYPERLINK("https://helical-indexing-hi3d.streamlit.app/?emd_id=emd-45007&amp;rise=4.786666665&amp;twist=-1.125397194&amp;csym=1&amp;rise2=4.81&amp;twist2=-1.08&amp;csym2=1", "Link")</f>
        <v/>
      </c>
    </row>
    <row r="1852">
      <c r="A1852" t="inlineStr">
        <is>
          <t>EMD-38695</t>
        </is>
      </c>
      <c r="B1852" t="inlineStr">
        <is>
          <t>non-amyloid</t>
        </is>
      </c>
      <c r="C1852" t="n">
        <v>3.4</v>
      </c>
      <c r="D1852" t="n">
        <v>6.91</v>
      </c>
      <c r="E1852" t="n">
        <v>56.16</v>
      </c>
      <c r="F1852" t="inlineStr">
        <is>
          <t>C1</t>
        </is>
      </c>
      <c r="G1852" t="inlineStr">
        <is>
          <t>7.055993417</t>
        </is>
      </c>
      <c r="H1852" t="n">
        <v>56.13392794</v>
      </c>
      <c r="I1852" t="inlineStr">
        <is>
          <t>C1</t>
        </is>
      </c>
      <c r="J1852" t="n">
        <v>0.146633386127476</v>
      </c>
      <c r="K1852" t="inlineStr"/>
      <c r="L1852" t="n">
        <v>0.918173983</v>
      </c>
      <c r="M1852" t="n">
        <v>0.885732113</v>
      </c>
      <c r="N1852" t="inlineStr">
        <is>
          <t>Yes</t>
        </is>
      </c>
      <c r="O1852" t="inlineStr">
        <is>
          <t>equal</t>
        </is>
      </c>
      <c r="P1852" t="inlineStr">
        <is>
          <t>deposited</t>
        </is>
      </c>
      <c r="Q1852" t="inlineStr"/>
      <c r="R1852" t="inlineStr"/>
      <c r="S1852">
        <f>HYPERLINK("https://helical-indexing-hi3d.streamlit.app/?emd_id=emd-38695&amp;rise=7.055993417&amp;twist=56.13392794&amp;csym=1&amp;rise2=6.91&amp;twist2=56.16&amp;csym2=1", "Link")</f>
        <v/>
      </c>
    </row>
    <row r="1853">
      <c r="A1853" t="inlineStr">
        <is>
          <t>EMD-45009</t>
        </is>
      </c>
      <c r="B1853" t="inlineStr">
        <is>
          <t>amyloid</t>
        </is>
      </c>
      <c r="C1853" t="n">
        <v>3.2</v>
      </c>
      <c r="D1853" t="n">
        <v>4.77</v>
      </c>
      <c r="E1853" t="n">
        <v>-1.04</v>
      </c>
      <c r="F1853" t="inlineStr">
        <is>
          <t>C1</t>
        </is>
      </c>
      <c r="G1853" t="inlineStr">
        <is>
          <t>4.786666655</t>
        </is>
      </c>
      <c r="H1853" t="n">
        <v>-1.111289001</v>
      </c>
      <c r="I1853" t="inlineStr">
        <is>
          <t>C1</t>
        </is>
      </c>
      <c r="J1853" t="n">
        <v>0.0409554677655858</v>
      </c>
      <c r="K1853" t="inlineStr"/>
      <c r="L1853" t="n">
        <v>0.778715291</v>
      </c>
      <c r="M1853" t="n">
        <v>0.784123684</v>
      </c>
      <c r="N1853" t="inlineStr">
        <is>
          <t>Yes</t>
        </is>
      </c>
      <c r="O1853" t="inlineStr">
        <is>
          <t>equal</t>
        </is>
      </c>
      <c r="P1853" t="inlineStr">
        <is>
          <t>deposited</t>
        </is>
      </c>
      <c r="Q1853" t="inlineStr"/>
      <c r="R1853" t="inlineStr"/>
      <c r="S1853">
        <f>HYPERLINK("https://helical-indexing-hi3d.streamlit.app/?emd_id=emd-45009&amp;rise=4.786666655&amp;twist=-1.111289001&amp;csym=1&amp;rise2=4.77&amp;twist2=-1.04&amp;csym2=1", "Link")</f>
        <v/>
      </c>
    </row>
    <row r="1854">
      <c r="A1854" t="inlineStr">
        <is>
          <t>EMD-37170</t>
        </is>
      </c>
      <c r="B1854" t="inlineStr">
        <is>
          <t>amyloid</t>
        </is>
      </c>
      <c r="C1854" t="n">
        <v>3.3</v>
      </c>
      <c r="D1854" t="n">
        <v>2.39</v>
      </c>
      <c r="E1854" t="n">
        <v>178.44</v>
      </c>
      <c r="F1854" t="inlineStr">
        <is>
          <t>C1</t>
        </is>
      </c>
      <c r="G1854" t="inlineStr">
        <is>
          <t>2.393333249</t>
        </is>
      </c>
      <c r="H1854" t="n">
        <v>178.4244926</v>
      </c>
      <c r="I1854" t="inlineStr">
        <is>
          <t>C1</t>
        </is>
      </c>
      <c r="J1854" t="n">
        <v>0.005923654</v>
      </c>
      <c r="K1854" t="inlineStr"/>
      <c r="L1854" t="n">
        <v>0.937880411</v>
      </c>
      <c r="M1854" t="n">
        <v>0.927404771</v>
      </c>
      <c r="N1854" t="inlineStr">
        <is>
          <t>Yes</t>
        </is>
      </c>
      <c r="O1854" t="inlineStr">
        <is>
          <t>equal</t>
        </is>
      </c>
      <c r="P1854" t="inlineStr">
        <is>
          <t>deposited</t>
        </is>
      </c>
      <c r="Q1854" t="inlineStr"/>
      <c r="R1854" t="inlineStr"/>
      <c r="S1854">
        <f>HYPERLINK("https://helical-indexing-hi3d.streamlit.app/?emd_id=emd-37170&amp;rise=2.393333249&amp;twist=178.4244926&amp;csym=1&amp;rise2=2.39&amp;twist2=178.44&amp;csym2=1", "Link")</f>
        <v/>
      </c>
    </row>
    <row r="1855">
      <c r="A1855" t="inlineStr">
        <is>
          <t>EMD-45979</t>
        </is>
      </c>
      <c r="B1855" t="inlineStr">
        <is>
          <t>amyloid</t>
        </is>
      </c>
      <c r="C1855" t="n">
        <v>3.2</v>
      </c>
      <c r="D1855" t="n">
        <v>4.85</v>
      </c>
      <c r="E1855" t="n">
        <v>-1.43</v>
      </c>
      <c r="F1855" t="inlineStr">
        <is>
          <t>C1</t>
        </is>
      </c>
      <c r="G1855" t="inlineStr">
        <is>
          <t>4.850337731</t>
        </is>
      </c>
      <c r="H1855" t="n">
        <v>-1.432219819</v>
      </c>
      <c r="I1855" t="inlineStr">
        <is>
          <t>C1</t>
        </is>
      </c>
      <c r="J1855" t="n">
        <v>0.001353701</v>
      </c>
      <c r="K1855" t="inlineStr"/>
      <c r="L1855" t="n">
        <v>0.973434595</v>
      </c>
      <c r="M1855" t="n">
        <v>0.97314158</v>
      </c>
      <c r="N1855" t="inlineStr">
        <is>
          <t>Yes</t>
        </is>
      </c>
      <c r="O1855" t="inlineStr">
        <is>
          <t>equal</t>
        </is>
      </c>
      <c r="P1855" t="inlineStr">
        <is>
          <t>deposited</t>
        </is>
      </c>
      <c r="Q1855" t="inlineStr"/>
      <c r="R1855" t="inlineStr"/>
      <c r="S1855">
        <f>HYPERLINK("https://helical-indexing-hi3d.streamlit.app/?emd_id=emd-45979&amp;rise=4.850337731&amp;twist=-1.432219819&amp;csym=1&amp;rise2=4.85&amp;twist2=-1.43&amp;csym2=1", "Link")</f>
        <v/>
      </c>
    </row>
    <row r="1856">
      <c r="A1856" t="inlineStr">
        <is>
          <t>EMD-45008</t>
        </is>
      </c>
      <c r="B1856" t="inlineStr">
        <is>
          <t>amyloid</t>
        </is>
      </c>
      <c r="C1856" t="n">
        <v>3.1</v>
      </c>
      <c r="D1856" t="n">
        <v>2.37</v>
      </c>
      <c r="E1856" t="n">
        <v>179.5</v>
      </c>
      <c r="F1856" t="inlineStr">
        <is>
          <t>C1</t>
        </is>
      </c>
      <c r="G1856" t="inlineStr">
        <is>
          <t>2.390960901</t>
        </is>
      </c>
      <c r="H1856" t="n">
        <v>179.4229148</v>
      </c>
      <c r="I1856" t="inlineStr">
        <is>
          <t>C1</t>
        </is>
      </c>
      <c r="J1856" t="n">
        <v>0.0407890445183216</v>
      </c>
      <c r="K1856" t="inlineStr"/>
      <c r="L1856" t="n">
        <v>0.782202096</v>
      </c>
      <c r="M1856" t="n">
        <v>0.800124645</v>
      </c>
      <c r="N1856" t="inlineStr">
        <is>
          <t>Yes</t>
        </is>
      </c>
      <c r="O1856" t="inlineStr">
        <is>
          <t>equal</t>
        </is>
      </c>
      <c r="P1856" t="inlineStr">
        <is>
          <t>deposited</t>
        </is>
      </c>
      <c r="Q1856" t="inlineStr"/>
      <c r="R1856" t="inlineStr"/>
      <c r="S1856">
        <f>HYPERLINK("https://helical-indexing-hi3d.streamlit.app/?emd_id=emd-45008&amp;rise=2.390960901&amp;twist=179.4229148&amp;csym=1&amp;rise2=2.37&amp;twist2=179.5&amp;csym2=1", "Link")</f>
        <v/>
      </c>
    </row>
    <row r="1857">
      <c r="A1857" t="inlineStr">
        <is>
          <t>EMD-50271</t>
        </is>
      </c>
      <c r="B1857" t="inlineStr">
        <is>
          <t>amyloid</t>
        </is>
      </c>
      <c r="C1857" t="n">
        <v>3.9</v>
      </c>
      <c r="D1857" t="n">
        <v>4.9162</v>
      </c>
      <c r="E1857" t="n">
        <v>-0.7351</v>
      </c>
      <c r="F1857" t="inlineStr">
        <is>
          <t>C1</t>
        </is>
      </c>
      <c r="G1857" t="inlineStr">
        <is>
          <t>4.916376805</t>
        </is>
      </c>
      <c r="H1857" t="n">
        <v>-0.835758429</v>
      </c>
      <c r="I1857" t="inlineStr">
        <is>
          <t>C1</t>
        </is>
      </c>
      <c r="J1857" t="n">
        <v>0.046139194</v>
      </c>
      <c r="K1857" t="inlineStr"/>
      <c r="L1857" t="n">
        <v>0.8447819009999999</v>
      </c>
      <c r="M1857" t="n">
        <v>0.836541396</v>
      </c>
      <c r="N1857" t="inlineStr">
        <is>
          <t>Yes</t>
        </is>
      </c>
      <c r="O1857" t="inlineStr">
        <is>
          <t>equal</t>
        </is>
      </c>
      <c r="P1857" t="inlineStr">
        <is>
          <t>deposited</t>
        </is>
      </c>
      <c r="Q1857" t="inlineStr"/>
      <c r="R1857" t="inlineStr"/>
      <c r="S1857">
        <f>HYPERLINK("https://helical-indexing-hi3d.streamlit.app/?emd_id=emd-50271&amp;rise=4.916376805&amp;twist=-0.835758429&amp;csym=1&amp;rise2=4.9162&amp;twist2=-0.7351&amp;csym2=1", "Link")</f>
        <v/>
      </c>
    </row>
    <row r="1858">
      <c r="A1858" t="inlineStr">
        <is>
          <t>EMD-43835</t>
        </is>
      </c>
      <c r="B1858" t="inlineStr">
        <is>
          <t>non-amyloid</t>
        </is>
      </c>
      <c r="C1858" t="n">
        <v>3.5</v>
      </c>
      <c r="D1858" t="n">
        <v>4.95</v>
      </c>
      <c r="E1858" t="n">
        <v>-3.578</v>
      </c>
      <c r="F1858" t="inlineStr">
        <is>
          <t>C2</t>
        </is>
      </c>
      <c r="G1858" t="inlineStr">
        <is>
          <t>4.947057515</t>
        </is>
      </c>
      <c r="H1858" t="n">
        <v>-3.550000946</v>
      </c>
      <c r="I1858" t="inlineStr">
        <is>
          <t>C2</t>
        </is>
      </c>
      <c r="J1858" t="n">
        <v>0.007892918000000001</v>
      </c>
      <c r="K1858" t="inlineStr"/>
      <c r="L1858" t="n">
        <v>0.926241829</v>
      </c>
      <c r="M1858" t="n">
        <v>0.926158326</v>
      </c>
      <c r="N1858" t="inlineStr">
        <is>
          <t>Yes</t>
        </is>
      </c>
      <c r="O1858" t="inlineStr">
        <is>
          <t>equal</t>
        </is>
      </c>
      <c r="P1858" t="inlineStr">
        <is>
          <t>deposited</t>
        </is>
      </c>
      <c r="Q1858" t="inlineStr"/>
      <c r="R1858" t="inlineStr"/>
      <c r="S1858">
        <f>HYPERLINK("https://helical-indexing-hi3d.streamlit.app/?emd_id=emd-43835&amp;rise=4.947057515&amp;twist=-3.550000946&amp;csym=2&amp;rise2=4.95&amp;twist2=-3.578&amp;csym2=2", "Link")</f>
        <v/>
      </c>
    </row>
    <row r="1859">
      <c r="A1859" t="inlineStr">
        <is>
          <t>EMD-36930</t>
        </is>
      </c>
      <c r="B1859" t="inlineStr">
        <is>
          <t>non-amyloid</t>
        </is>
      </c>
      <c r="C1859" t="n">
        <v>13</v>
      </c>
      <c r="D1859" t="n">
        <v>63.3</v>
      </c>
      <c r="E1859" t="n">
        <v>-25.6</v>
      </c>
      <c r="F1859" t="inlineStr">
        <is>
          <t>C10</t>
        </is>
      </c>
      <c r="G1859" t="inlineStr">
        <is>
          <t>64.34390214</t>
        </is>
      </c>
      <c r="H1859" t="n">
        <v>9.898074673</v>
      </c>
      <c r="I1859" t="inlineStr">
        <is>
          <t>C10</t>
        </is>
      </c>
      <c r="J1859" t="n">
        <v>1.049755841028561</v>
      </c>
      <c r="K1859" t="inlineStr"/>
      <c r="L1859" t="n">
        <v>0.965495945</v>
      </c>
      <c r="M1859" t="n">
        <v>0.939891089</v>
      </c>
      <c r="N1859" t="inlineStr">
        <is>
          <t>Yes</t>
        </is>
      </c>
      <c r="O1859" t="inlineStr">
        <is>
          <t>equal</t>
        </is>
      </c>
      <c r="P1859" t="inlineStr">
        <is>
          <t>deposited</t>
        </is>
      </c>
      <c r="Q1859" t="inlineStr"/>
      <c r="R1859" t="inlineStr"/>
      <c r="S1859">
        <f>HYPERLINK("https://helical-indexing-hi3d.streamlit.app/?emd_id=emd-36930&amp;rise=64.34390214&amp;twist=9.898074673&amp;csym=10&amp;rise2=63.3&amp;twist2=-25.6&amp;csym2=10", "Link")</f>
        <v/>
      </c>
    </row>
    <row r="1860">
      <c r="A1860" t="inlineStr">
        <is>
          <t>EMD-36912</t>
        </is>
      </c>
      <c r="B1860" t="inlineStr">
        <is>
          <t>non-amyloid</t>
        </is>
      </c>
      <c r="C1860" t="n">
        <v>15.9</v>
      </c>
      <c r="D1860" t="n">
        <v>31.3</v>
      </c>
      <c r="E1860" t="n">
        <v>-134.3</v>
      </c>
      <c r="F1860" t="inlineStr">
        <is>
          <t>C1</t>
        </is>
      </c>
      <c r="G1860" t="inlineStr">
        <is>
          <t>30.5533775</t>
        </is>
      </c>
      <c r="H1860" t="n">
        <v>-133.6136172</v>
      </c>
      <c r="I1860" t="inlineStr">
        <is>
          <t>C1</t>
        </is>
      </c>
      <c r="J1860" t="n">
        <v>0.7881989657556601</v>
      </c>
      <c r="K1860" t="inlineStr"/>
      <c r="L1860" t="n">
        <v>0.992139287</v>
      </c>
      <c r="M1860" t="n">
        <v>0.982454232</v>
      </c>
      <c r="N1860" t="inlineStr">
        <is>
          <t>Yes</t>
        </is>
      </c>
      <c r="O1860" t="inlineStr">
        <is>
          <t>equal</t>
        </is>
      </c>
      <c r="P1860" t="inlineStr">
        <is>
          <t>deposited</t>
        </is>
      </c>
      <c r="Q1860" t="inlineStr"/>
      <c r="R1860" t="inlineStr"/>
      <c r="S1860">
        <f>HYPERLINK("https://helical-indexing-hi3d.streamlit.app/?emd_id=emd-36912&amp;rise=30.5533775&amp;twist=-133.6136172&amp;csym=1&amp;rise2=31.3&amp;twist2=-134.3&amp;csym2=1", "Link")</f>
        <v/>
      </c>
    </row>
    <row r="1861">
      <c r="A1861" t="inlineStr">
        <is>
          <t>EMD-36910</t>
        </is>
      </c>
      <c r="B1861" t="inlineStr">
        <is>
          <t>non-amyloid</t>
        </is>
      </c>
      <c r="C1861" t="n">
        <v>16.4</v>
      </c>
      <c r="D1861" t="n">
        <v>22.8</v>
      </c>
      <c r="E1861" t="n">
        <v>-98.40000000000001</v>
      </c>
      <c r="F1861" t="inlineStr">
        <is>
          <t>C1</t>
        </is>
      </c>
      <c r="G1861" t="inlineStr">
        <is>
          <t>13.32201463</t>
        </is>
      </c>
      <c r="H1861" t="n">
        <v>-106.4542137</v>
      </c>
      <c r="I1861" t="inlineStr">
        <is>
          <t>C1</t>
        </is>
      </c>
      <c r="J1861" t="n">
        <v>9.714337100235801</v>
      </c>
      <c r="K1861" t="inlineStr"/>
      <c r="L1861" t="n">
        <v>0.976010161</v>
      </c>
      <c r="M1861" t="n">
        <v>0.772021803</v>
      </c>
      <c r="N1861" t="inlineStr">
        <is>
          <t>Yes</t>
        </is>
      </c>
      <c r="O1861" t="inlineStr">
        <is>
          <t>equal</t>
        </is>
      </c>
      <c r="P1861" t="inlineStr">
        <is>
          <t>deposited</t>
        </is>
      </c>
      <c r="Q1861" t="inlineStr"/>
      <c r="R1861" t="inlineStr"/>
      <c r="S1861">
        <f>HYPERLINK("https://helical-indexing-hi3d.streamlit.app/?emd_id=emd-36910&amp;rise=13.32201463&amp;twist=-106.4542137&amp;csym=1&amp;rise2=22.8&amp;twist2=-98.4&amp;csym2=1", "Link")</f>
        <v/>
      </c>
    </row>
    <row r="1862">
      <c r="A1862" t="inlineStr">
        <is>
          <t>EMD-41279</t>
        </is>
      </c>
      <c r="B1862" t="inlineStr">
        <is>
          <t>non-amyloid</t>
        </is>
      </c>
      <c r="C1862" t="n">
        <v>4.43</v>
      </c>
      <c r="D1862" t="n">
        <v>27.43</v>
      </c>
      <c r="E1862" t="n">
        <v>-167.23</v>
      </c>
      <c r="F1862" t="inlineStr">
        <is>
          <t>C1</t>
        </is>
      </c>
      <c r="G1862" t="inlineStr">
        <is>
          <t>27.24329803</t>
        </is>
      </c>
      <c r="H1862" t="n">
        <v>-167.2581079</v>
      </c>
      <c r="I1862" t="inlineStr">
        <is>
          <t>C1</t>
        </is>
      </c>
      <c r="J1862" t="n">
        <v>0.1867958136887296</v>
      </c>
      <c r="K1862" t="inlineStr"/>
      <c r="L1862" t="n">
        <v>0.885102977</v>
      </c>
      <c r="M1862" t="n">
        <v>0.88820425</v>
      </c>
      <c r="N1862" t="inlineStr">
        <is>
          <t>Yes</t>
        </is>
      </c>
      <c r="O1862" t="inlineStr">
        <is>
          <t>equal</t>
        </is>
      </c>
      <c r="P1862" t="inlineStr">
        <is>
          <t>deposited</t>
        </is>
      </c>
      <c r="Q1862" t="inlineStr"/>
      <c r="R1862" t="inlineStr"/>
      <c r="S1862">
        <f>HYPERLINK("https://helical-indexing-hi3d.streamlit.app/?emd_id=emd-41279&amp;rise=27.24329803&amp;twist=-167.2581079&amp;csym=1&amp;rise2=27.43&amp;twist2=-167.23&amp;csym2=1", "Link")</f>
        <v/>
      </c>
    </row>
    <row r="1863">
      <c r="A1863" t="inlineStr">
        <is>
          <t>EMD-41273</t>
        </is>
      </c>
      <c r="B1863" t="inlineStr">
        <is>
          <t>non-amyloid</t>
        </is>
      </c>
      <c r="C1863" t="n">
        <v>3.98</v>
      </c>
      <c r="D1863" t="n">
        <v>27.48</v>
      </c>
      <c r="E1863" t="n">
        <v>-167.22</v>
      </c>
      <c r="F1863" t="inlineStr">
        <is>
          <t>C1</t>
        </is>
      </c>
      <c r="G1863" t="inlineStr">
        <is>
          <t>27.31981555</t>
        </is>
      </c>
      <c r="H1863" t="n">
        <v>-167.1134871</v>
      </c>
      <c r="I1863" t="inlineStr">
        <is>
          <t>C1</t>
        </is>
      </c>
      <c r="J1863" t="n">
        <v>0.1622104125575744</v>
      </c>
      <c r="K1863" t="inlineStr"/>
      <c r="L1863" t="n">
        <v>0.879855173</v>
      </c>
      <c r="M1863" t="n">
        <v>0.880729519</v>
      </c>
      <c r="N1863" t="inlineStr">
        <is>
          <t>Yes</t>
        </is>
      </c>
      <c r="O1863" t="inlineStr">
        <is>
          <t>equal</t>
        </is>
      </c>
      <c r="P1863" t="inlineStr">
        <is>
          <t>deposited</t>
        </is>
      </c>
      <c r="Q1863" t="inlineStr"/>
      <c r="R1863" t="inlineStr"/>
      <c r="S1863">
        <f>HYPERLINK("https://helical-indexing-hi3d.streamlit.app/?emd_id=emd-41273&amp;rise=27.31981555&amp;twist=-167.1134871&amp;csym=1&amp;rise2=27.48&amp;twist2=-167.22&amp;csym2=1", "Link")</f>
        <v/>
      </c>
    </row>
    <row r="1864">
      <c r="A1864" t="inlineStr">
        <is>
          <t>EMD-36932</t>
        </is>
      </c>
      <c r="B1864" t="inlineStr">
        <is>
          <t>non-amyloid</t>
        </is>
      </c>
      <c r="C1864" t="n">
        <v>12.6</v>
      </c>
      <c r="D1864" t="n">
        <v>63.3</v>
      </c>
      <c r="E1864" t="n">
        <v>-23.3</v>
      </c>
      <c r="F1864" t="inlineStr">
        <is>
          <t>C11</t>
        </is>
      </c>
      <c r="G1864" t="inlineStr">
        <is>
          <t>63.59140935</t>
        </is>
      </c>
      <c r="H1864" t="n">
        <v>42.018156</v>
      </c>
      <c r="I1864" t="inlineStr">
        <is>
          <t>C1</t>
        </is>
      </c>
      <c r="J1864" t="n">
        <v>0.2928409998307871</v>
      </c>
      <c r="K1864" t="inlineStr"/>
      <c r="L1864" t="n">
        <v>0.961947322</v>
      </c>
      <c r="M1864" t="n">
        <v>0.9599412980000001</v>
      </c>
      <c r="N1864" t="inlineStr">
        <is>
          <t>Yes</t>
        </is>
      </c>
      <c r="O1864" t="inlineStr">
        <is>
          <t>equal</t>
        </is>
      </c>
      <c r="P1864" t="inlineStr">
        <is>
          <t>deposited</t>
        </is>
      </c>
      <c r="Q1864" t="inlineStr"/>
      <c r="R1864" t="inlineStr"/>
      <c r="S1864">
        <f>HYPERLINK("https://helical-indexing-hi3d.streamlit.app/?emd_id=emd-36932&amp;rise=63.59140935&amp;twist=42.018156&amp;csym=1&amp;rise2=63.3&amp;twist2=-23.3&amp;csym2=11", "Link")</f>
        <v/>
      </c>
    </row>
    <row r="1865">
      <c r="A1865" t="inlineStr">
        <is>
          <t>EMD-36927</t>
        </is>
      </c>
      <c r="B1865" t="inlineStr">
        <is>
          <t>non-amyloid</t>
        </is>
      </c>
      <c r="C1865" t="n">
        <v>11</v>
      </c>
      <c r="D1865" t="n">
        <v>31.9</v>
      </c>
      <c r="E1865" t="n">
        <v>-30.9</v>
      </c>
      <c r="F1865" t="inlineStr">
        <is>
          <t>C5</t>
        </is>
      </c>
      <c r="G1865" t="inlineStr">
        <is>
          <t>31.71268722</t>
        </is>
      </c>
      <c r="H1865" t="n">
        <v>-30.97350612</v>
      </c>
      <c r="I1865" t="inlineStr">
        <is>
          <t>C5</t>
        </is>
      </c>
      <c r="J1865" t="n">
        <v>0.187930700226944</v>
      </c>
      <c r="K1865" t="inlineStr"/>
      <c r="L1865" t="n">
        <v>0.955493045</v>
      </c>
      <c r="M1865" t="n">
        <v>0.9535420610000001</v>
      </c>
      <c r="N1865" t="inlineStr">
        <is>
          <t>Yes</t>
        </is>
      </c>
      <c r="O1865" t="inlineStr">
        <is>
          <t>equal</t>
        </is>
      </c>
      <c r="P1865" t="inlineStr">
        <is>
          <t>deposited</t>
        </is>
      </c>
      <c r="Q1865" t="inlineStr"/>
      <c r="R1865" t="inlineStr"/>
      <c r="S1865">
        <f>HYPERLINK("https://helical-indexing-hi3d.streamlit.app/?emd_id=emd-36927&amp;rise=31.71268722&amp;twist=-30.97350612&amp;csym=5&amp;rise2=31.9&amp;twist2=-30.9&amp;csym2=5", "Link")</f>
        <v/>
      </c>
    </row>
    <row r="1866">
      <c r="A1866" t="inlineStr">
        <is>
          <t>EMD-60346</t>
        </is>
      </c>
      <c r="B1866" t="inlineStr">
        <is>
          <t>non-amyloid</t>
        </is>
      </c>
      <c r="C1866" t="n">
        <v>2.97</v>
      </c>
      <c r="D1866" t="n">
        <v>21</v>
      </c>
      <c r="E1866" t="n">
        <v>85.84999999999999</v>
      </c>
      <c r="F1866" t="inlineStr">
        <is>
          <t>C1</t>
        </is>
      </c>
      <c r="G1866" t="inlineStr">
        <is>
          <t>20.81230485</t>
        </is>
      </c>
      <c r="H1866" t="n">
        <v>85.07358709</v>
      </c>
      <c r="I1866" t="inlineStr">
        <is>
          <t>C2</t>
        </is>
      </c>
      <c r="J1866" t="n">
        <v>0.5348407985865933</v>
      </c>
      <c r="K1866" t="inlineStr"/>
      <c r="L1866" t="n">
        <v>0.93738641</v>
      </c>
      <c r="M1866" t="n">
        <v>0.68327171</v>
      </c>
      <c r="N1866" t="inlineStr">
        <is>
          <t>Yes</t>
        </is>
      </c>
      <c r="O1866" t="inlineStr">
        <is>
          <t>equal</t>
        </is>
      </c>
      <c r="P1866" t="inlineStr">
        <is>
          <t>deposited</t>
        </is>
      </c>
      <c r="Q1866" t="inlineStr"/>
      <c r="R1866" t="inlineStr"/>
      <c r="S1866">
        <f>HYPERLINK("https://helical-indexing-hi3d.streamlit.app/?emd_id=emd-60346&amp;rise=20.81230485&amp;twist=85.07358709&amp;csym=2&amp;rise2=21.0&amp;twist2=85.85&amp;csym2=1", "Link")</f>
        <v/>
      </c>
    </row>
    <row r="1867">
      <c r="A1867" t="inlineStr">
        <is>
          <t>EMD-19822</t>
        </is>
      </c>
      <c r="B1867" t="inlineStr">
        <is>
          <t>non-amyloid</t>
        </is>
      </c>
      <c r="C1867" t="n">
        <v>3.85</v>
      </c>
      <c r="D1867" t="n">
        <v>5.33</v>
      </c>
      <c r="E1867" t="n">
        <v>133.61</v>
      </c>
      <c r="F1867" t="inlineStr">
        <is>
          <t>D1</t>
        </is>
      </c>
      <c r="G1867" t="inlineStr">
        <is>
          <t>5.322891209</t>
        </is>
      </c>
      <c r="H1867" t="n">
        <v>133.5767061</v>
      </c>
      <c r="I1867" t="inlineStr">
        <is>
          <t>C1</t>
        </is>
      </c>
      <c r="J1867" t="n">
        <v>0.036081337</v>
      </c>
      <c r="K1867" t="inlineStr"/>
      <c r="L1867" t="n">
        <v>0.762682227</v>
      </c>
      <c r="M1867" t="n">
        <v>0.832469452</v>
      </c>
      <c r="N1867" t="inlineStr">
        <is>
          <t>Yes</t>
        </is>
      </c>
      <c r="O1867" t="inlineStr">
        <is>
          <t>equal</t>
        </is>
      </c>
      <c r="P1867" t="inlineStr">
        <is>
          <t>deposited</t>
        </is>
      </c>
      <c r="Q1867" t="inlineStr"/>
      <c r="R1867" t="inlineStr"/>
      <c r="S1867">
        <f>HYPERLINK("https://helical-indexing-hi3d.streamlit.app/?emd_id=emd-19822&amp;rise=5.322891209&amp;twist=133.5767061&amp;csym=1&amp;rise2=5.33&amp;twist2=133.61&amp;csym2=1", "Link")</f>
        <v/>
      </c>
    </row>
    <row r="1868">
      <c r="A1868" t="inlineStr">
        <is>
          <t>EMD-18308</t>
        </is>
      </c>
      <c r="B1868" t="inlineStr">
        <is>
          <t>non-amyloid</t>
        </is>
      </c>
      <c r="C1868" t="n">
        <v>3.35</v>
      </c>
      <c r="D1868" t="n">
        <v>5.044</v>
      </c>
      <c r="E1868" t="n">
        <v>-136.5</v>
      </c>
      <c r="F1868" t="inlineStr">
        <is>
          <t>D1</t>
        </is>
      </c>
      <c r="G1868" t="inlineStr">
        <is>
          <t>5.044530157</t>
        </is>
      </c>
      <c r="H1868" t="n">
        <v>-136.5175838</v>
      </c>
      <c r="I1868" t="inlineStr">
        <is>
          <t>C1</t>
        </is>
      </c>
      <c r="J1868" t="n">
        <v>0.016488338303204</v>
      </c>
      <c r="K1868" t="inlineStr"/>
      <c r="L1868" t="n">
        <v>0.716983608</v>
      </c>
      <c r="M1868" t="n">
        <v>0.801963286</v>
      </c>
      <c r="N1868" t="inlineStr">
        <is>
          <t>Yes</t>
        </is>
      </c>
      <c r="O1868" t="inlineStr">
        <is>
          <t>equal</t>
        </is>
      </c>
      <c r="P1868" t="inlineStr">
        <is>
          <t>deposited</t>
        </is>
      </c>
      <c r="Q1868" t="inlineStr"/>
      <c r="R1868" t="inlineStr"/>
      <c r="S1868">
        <f>HYPERLINK("https://helical-indexing-hi3d.streamlit.app/?emd_id=emd-18308&amp;rise=5.044530157&amp;twist=-136.5175838&amp;csym=1&amp;rise2=5.044&amp;twist2=-136.5&amp;csym2=1", "Link")</f>
        <v/>
      </c>
    </row>
    <row r="1869">
      <c r="A1869" t="inlineStr">
        <is>
          <t>EMD-45639</t>
        </is>
      </c>
      <c r="B1869" t="inlineStr">
        <is>
          <t>amyloid</t>
        </is>
      </c>
      <c r="C1869" t="n">
        <v>2.04</v>
      </c>
      <c r="D1869" t="n">
        <v>2.42</v>
      </c>
      <c r="E1869" t="n">
        <v>179.45</v>
      </c>
      <c r="F1869" t="inlineStr">
        <is>
          <t>C1</t>
        </is>
      </c>
      <c r="G1869" t="inlineStr">
        <is>
          <t>2.416675869</t>
        </is>
      </c>
      <c r="H1869" t="n">
        <v>179.4421314</v>
      </c>
      <c r="I1869" t="inlineStr">
        <is>
          <t>C1</t>
        </is>
      </c>
      <c r="J1869" t="n">
        <v>0.005044884</v>
      </c>
      <c r="K1869" t="inlineStr"/>
      <c r="L1869" t="n">
        <v>0.960240497</v>
      </c>
      <c r="M1869" t="n">
        <v>0.95220745</v>
      </c>
      <c r="N1869" t="inlineStr">
        <is>
          <t>Yes</t>
        </is>
      </c>
      <c r="O1869" t="inlineStr">
        <is>
          <t>equal</t>
        </is>
      </c>
      <c r="P1869" t="inlineStr">
        <is>
          <t>deposited</t>
        </is>
      </c>
      <c r="Q1869" t="inlineStr"/>
      <c r="R1869" t="inlineStr"/>
      <c r="S1869">
        <f>HYPERLINK("https://helical-indexing-hi3d.streamlit.app/?emd_id=emd-45639&amp;rise=2.416675869&amp;twist=179.4421314&amp;csym=1&amp;rise2=2.42&amp;twist2=179.45&amp;csym2=1", "Link")</f>
        <v/>
      </c>
    </row>
    <row r="1870">
      <c r="A1870" t="inlineStr">
        <is>
          <t>EMD-18310</t>
        </is>
      </c>
      <c r="B1870" t="inlineStr">
        <is>
          <t>non-amyloid</t>
        </is>
      </c>
      <c r="C1870" t="n">
        <v>3.61</v>
      </c>
      <c r="D1870" t="n">
        <v>5.408</v>
      </c>
      <c r="E1870" t="n">
        <v>133.595</v>
      </c>
      <c r="F1870" t="inlineStr">
        <is>
          <t>D1</t>
        </is>
      </c>
      <c r="G1870" t="inlineStr">
        <is>
          <t>5.401192607</t>
        </is>
      </c>
      <c r="H1870" t="n">
        <v>133.5901071</v>
      </c>
      <c r="I1870" t="inlineStr">
        <is>
          <t>C1</t>
        </is>
      </c>
      <c r="J1870" t="n">
        <v>0.1147363070586585</v>
      </c>
      <c r="K1870" t="inlineStr"/>
      <c r="L1870" t="n">
        <v>0.770177703</v>
      </c>
      <c r="M1870" t="n">
        <v>0.776415269</v>
      </c>
      <c r="N1870" t="inlineStr">
        <is>
          <t>Yes</t>
        </is>
      </c>
      <c r="O1870" t="inlineStr">
        <is>
          <t>equal</t>
        </is>
      </c>
      <c r="P1870" t="inlineStr">
        <is>
          <t>deposited</t>
        </is>
      </c>
      <c r="Q1870" t="inlineStr"/>
      <c r="R1870" t="inlineStr"/>
      <c r="S1870">
        <f>HYPERLINK("https://helical-indexing-hi3d.streamlit.app/?emd_id=emd-18310&amp;rise=5.401192607&amp;twist=133.5901071&amp;csym=1&amp;rise2=5.408&amp;twist2=133.595&amp;csym2=1", "Link")</f>
        <v/>
      </c>
    </row>
    <row r="1871">
      <c r="A1871" t="inlineStr">
        <is>
          <t>EMD-50621</t>
        </is>
      </c>
      <c r="B1871" t="inlineStr">
        <is>
          <t>amyloid</t>
        </is>
      </c>
      <c r="C1871" t="n">
        <v>2.9</v>
      </c>
      <c r="D1871" t="n">
        <v>4.96</v>
      </c>
      <c r="E1871" t="n">
        <v>-1.92</v>
      </c>
      <c r="F1871" t="inlineStr">
        <is>
          <t>C1</t>
        </is>
      </c>
      <c r="G1871" t="inlineStr">
        <is>
          <t>4.964357325</t>
        </is>
      </c>
      <c r="H1871" t="n">
        <v>-1.917248444</v>
      </c>
      <c r="I1871" t="inlineStr">
        <is>
          <t>C1</t>
        </is>
      </c>
      <c r="J1871" t="n">
        <v>0.00451852</v>
      </c>
      <c r="K1871" t="inlineStr"/>
      <c r="L1871" t="n">
        <v>0.736928929</v>
      </c>
      <c r="M1871" t="n">
        <v>0.739994013</v>
      </c>
      <c r="N1871" t="inlineStr">
        <is>
          <t>Yes</t>
        </is>
      </c>
      <c r="O1871" t="inlineStr">
        <is>
          <t>equal</t>
        </is>
      </c>
      <c r="P1871" t="inlineStr">
        <is>
          <t>deposited</t>
        </is>
      </c>
      <c r="Q1871" t="inlineStr"/>
      <c r="R1871" t="inlineStr"/>
      <c r="S1871">
        <f>HYPERLINK("https://helical-indexing-hi3d.streamlit.app/?emd_id=emd-50621&amp;rise=4.964357325&amp;twist=-1.917248444&amp;csym=1&amp;rise2=4.96&amp;twist2=-1.92&amp;csym2=1", "Link")</f>
        <v/>
      </c>
    </row>
    <row r="1872">
      <c r="A1872" t="inlineStr">
        <is>
          <t>EMD-18309</t>
        </is>
      </c>
      <c r="B1872" t="inlineStr">
        <is>
          <t>non-amyloid</t>
        </is>
      </c>
      <c r="C1872" t="n">
        <v>3.86</v>
      </c>
      <c r="D1872" t="n">
        <v>14.547</v>
      </c>
      <c r="E1872" t="n">
        <v>-83.25</v>
      </c>
      <c r="F1872" t="inlineStr">
        <is>
          <t>D3</t>
        </is>
      </c>
      <c r="G1872" t="inlineStr">
        <is>
          <t>14.53845963</t>
        </is>
      </c>
      <c r="H1872" t="n">
        <v>36.75111161</v>
      </c>
      <c r="I1872" t="inlineStr">
        <is>
          <t>C3</t>
        </is>
      </c>
      <c r="J1872" t="n">
        <v>0.008598241</v>
      </c>
      <c r="K1872" t="inlineStr"/>
      <c r="L1872" t="n">
        <v>0.815859716</v>
      </c>
      <c r="M1872" t="n">
        <v>0.8164430070000001</v>
      </c>
      <c r="N1872" t="inlineStr">
        <is>
          <t>Yes</t>
        </is>
      </c>
      <c r="O1872" t="inlineStr">
        <is>
          <t>equal</t>
        </is>
      </c>
      <c r="P1872" t="inlineStr">
        <is>
          <t>deposited</t>
        </is>
      </c>
      <c r="Q1872" t="inlineStr"/>
      <c r="R1872" t="inlineStr"/>
      <c r="S1872">
        <f>HYPERLINK("https://helical-indexing-hi3d.streamlit.app/?emd_id=emd-18309&amp;rise=14.53845963&amp;twist=36.75111161&amp;csym=3&amp;rise2=14.547&amp;twist2=-83.25&amp;csym2=3", "Link")</f>
        <v/>
      </c>
    </row>
    <row r="1873">
      <c r="A1873" t="inlineStr">
        <is>
          <t>EMD-50628</t>
        </is>
      </c>
      <c r="B1873" t="inlineStr">
        <is>
          <t>amyloid</t>
        </is>
      </c>
      <c r="C1873" t="n">
        <v>2.75</v>
      </c>
      <c r="D1873" t="n">
        <v>4.98</v>
      </c>
      <c r="E1873" t="n">
        <v>-1.83</v>
      </c>
      <c r="F1873" t="inlineStr">
        <is>
          <t>C1</t>
        </is>
      </c>
      <c r="G1873" t="inlineStr">
        <is>
          <t>4.989663278</t>
        </is>
      </c>
      <c r="H1873" t="n">
        <v>-1.86874046</v>
      </c>
      <c r="I1873" t="inlineStr">
        <is>
          <t>C1</t>
        </is>
      </c>
      <c r="J1873" t="n">
        <v>0.014545442</v>
      </c>
      <c r="K1873" t="inlineStr"/>
      <c r="L1873" t="n">
        <v>0.785308237</v>
      </c>
      <c r="M1873" t="n">
        <v>0.800044554</v>
      </c>
      <c r="N1873" t="inlineStr">
        <is>
          <t>Yes</t>
        </is>
      </c>
      <c r="O1873" t="inlineStr">
        <is>
          <t>equal</t>
        </is>
      </c>
      <c r="P1873" t="inlineStr">
        <is>
          <t>deposited</t>
        </is>
      </c>
      <c r="Q1873" t="inlineStr"/>
      <c r="R1873" t="inlineStr"/>
      <c r="S1873">
        <f>HYPERLINK("https://helical-indexing-hi3d.streamlit.app/?emd_id=emd-50628&amp;rise=4.989663278&amp;twist=-1.86874046&amp;csym=1&amp;rise2=4.98&amp;twist2=-1.83&amp;csym2=1", "Link")</f>
        <v/>
      </c>
    </row>
    <row r="1874">
      <c r="A1874" t="inlineStr">
        <is>
          <t>EMD-18990</t>
        </is>
      </c>
      <c r="B1874" t="inlineStr">
        <is>
          <t>amyloid</t>
        </is>
      </c>
      <c r="C1874" t="n">
        <v>3</v>
      </c>
      <c r="D1874" t="n">
        <v>2.405</v>
      </c>
      <c r="E1874" t="n">
        <v>179.44</v>
      </c>
      <c r="F1874" t="inlineStr">
        <is>
          <t>C1</t>
        </is>
      </c>
      <c r="G1874" t="inlineStr">
        <is>
          <t>2.399901966</t>
        </is>
      </c>
      <c r="H1874" t="n">
        <v>179.4438709</v>
      </c>
      <c r="I1874" t="inlineStr">
        <is>
          <t>C1</t>
        </is>
      </c>
      <c r="J1874" t="n">
        <v>0.005358761</v>
      </c>
      <c r="K1874" t="inlineStr"/>
      <c r="L1874" t="n">
        <v>0.9674192579999999</v>
      </c>
      <c r="M1874" t="n">
        <v>0.954167437</v>
      </c>
      <c r="N1874" t="inlineStr">
        <is>
          <t>Yes</t>
        </is>
      </c>
      <c r="O1874" t="inlineStr">
        <is>
          <t>equal</t>
        </is>
      </c>
      <c r="P1874" t="inlineStr">
        <is>
          <t>deposited</t>
        </is>
      </c>
      <c r="Q1874" t="inlineStr"/>
      <c r="R1874" t="inlineStr"/>
      <c r="S1874">
        <f>HYPERLINK("https://helical-indexing-hi3d.streamlit.app/?emd_id=emd-18990&amp;rise=2.399901966&amp;twist=179.4438709&amp;csym=1&amp;rise2=2.405&amp;twist2=179.44&amp;csym2=1", "Link")</f>
        <v/>
      </c>
    </row>
    <row r="1875">
      <c r="A1875" t="inlineStr">
        <is>
          <t>EMD-19962</t>
        </is>
      </c>
      <c r="B1875" t="inlineStr">
        <is>
          <t>non-amyloid</t>
        </is>
      </c>
      <c r="C1875" t="n">
        <v>3.33</v>
      </c>
      <c r="D1875" t="n">
        <v>5.46</v>
      </c>
      <c r="E1875" t="n">
        <v>107.91</v>
      </c>
      <c r="F1875" t="inlineStr">
        <is>
          <t>C1</t>
        </is>
      </c>
      <c r="G1875" t="inlineStr">
        <is>
          <t>5.456017117</t>
        </is>
      </c>
      <c r="H1875" t="n">
        <v>107.8954914</v>
      </c>
      <c r="I1875" t="inlineStr">
        <is>
          <t>C1</t>
        </is>
      </c>
      <c r="J1875" t="n">
        <v>0.008012188</v>
      </c>
      <c r="K1875" t="inlineStr"/>
      <c r="L1875" t="n">
        <v>0.7494541</v>
      </c>
      <c r="M1875" t="n">
        <v>0.748726751</v>
      </c>
      <c r="N1875" t="inlineStr">
        <is>
          <t>Yes</t>
        </is>
      </c>
      <c r="O1875" t="inlineStr">
        <is>
          <t>equal</t>
        </is>
      </c>
      <c r="P1875" t="inlineStr">
        <is>
          <t>deposited</t>
        </is>
      </c>
      <c r="Q1875" t="inlineStr"/>
      <c r="R1875" t="inlineStr"/>
      <c r="S1875">
        <f>HYPERLINK("https://helical-indexing-hi3d.streamlit.app/?emd_id=emd-19962&amp;rise=5.456017117&amp;twist=107.8954914&amp;csym=1&amp;rise2=5.46&amp;twist2=107.91&amp;csym2=1", "Link")</f>
        <v/>
      </c>
    </row>
    <row r="1876">
      <c r="A1876" t="inlineStr">
        <is>
          <t>EMD-60637</t>
        </is>
      </c>
      <c r="B1876" t="inlineStr">
        <is>
          <t>amyloid</t>
        </is>
      </c>
      <c r="C1876" t="n">
        <v>3.1</v>
      </c>
      <c r="D1876" t="n">
        <v>2.41</v>
      </c>
      <c r="E1876" t="n">
        <v>179.6</v>
      </c>
      <c r="F1876" t="inlineStr">
        <is>
          <t>C1</t>
        </is>
      </c>
      <c r="G1876" t="inlineStr">
        <is>
          <t>2.408892028</t>
        </is>
      </c>
      <c r="H1876" t="n">
        <v>179.6596473</v>
      </c>
      <c r="I1876" t="inlineStr">
        <is>
          <t>C1</t>
        </is>
      </c>
      <c r="J1876" t="n">
        <v>0.0238900708835394</v>
      </c>
      <c r="K1876" t="inlineStr"/>
      <c r="L1876" t="n">
        <v>0.866989025</v>
      </c>
      <c r="M1876" t="n">
        <v>0.945982997</v>
      </c>
      <c r="N1876" t="inlineStr">
        <is>
          <t>Yes</t>
        </is>
      </c>
      <c r="O1876" t="inlineStr">
        <is>
          <t>equal</t>
        </is>
      </c>
      <c r="P1876" t="inlineStr">
        <is>
          <t>deposited</t>
        </is>
      </c>
      <c r="Q1876" t="inlineStr"/>
      <c r="R1876" t="inlineStr"/>
      <c r="S1876">
        <f>HYPERLINK("https://helical-indexing-hi3d.streamlit.app/?emd_id=emd-60637&amp;rise=2.408892028&amp;twist=179.6596473&amp;csym=1&amp;rise2=2.41&amp;twist2=179.6&amp;csym2=1", "Link")</f>
        <v/>
      </c>
    </row>
    <row r="1877">
      <c r="A1877" t="inlineStr">
        <is>
          <t>EMD-19905</t>
        </is>
      </c>
      <c r="B1877" t="inlineStr">
        <is>
          <t>non-amyloid</t>
        </is>
      </c>
      <c r="C1877" t="n">
        <v>3.23</v>
      </c>
      <c r="D1877" t="n">
        <v>5.49</v>
      </c>
      <c r="E1877" t="n">
        <v>107.95</v>
      </c>
      <c r="F1877" t="inlineStr">
        <is>
          <t>C1</t>
        </is>
      </c>
      <c r="G1877" t="inlineStr">
        <is>
          <t>5.493082623</t>
        </is>
      </c>
      <c r="H1877" t="n">
        <v>107.9506471</v>
      </c>
      <c r="I1877" t="inlineStr">
        <is>
          <t>C1</t>
        </is>
      </c>
      <c r="J1877" t="n">
        <v>0.003099413</v>
      </c>
      <c r="K1877" t="inlineStr"/>
      <c r="L1877" t="n">
        <v>0.804155733</v>
      </c>
      <c r="M1877" t="n">
        <v>0.804609284</v>
      </c>
      <c r="N1877" t="inlineStr">
        <is>
          <t>Yes</t>
        </is>
      </c>
      <c r="O1877" t="inlineStr">
        <is>
          <t>equal</t>
        </is>
      </c>
      <c r="P1877" t="inlineStr">
        <is>
          <t>deposited</t>
        </is>
      </c>
      <c r="Q1877" t="inlineStr"/>
      <c r="R1877" t="inlineStr"/>
      <c r="S1877">
        <f>HYPERLINK("https://helical-indexing-hi3d.streamlit.app/?emd_id=emd-19905&amp;rise=5.493082623&amp;twist=107.9506471&amp;csym=1&amp;rise2=5.49&amp;twist2=107.95&amp;csym2=1", "Link")</f>
        <v/>
      </c>
    </row>
    <row r="1878">
      <c r="A1878" t="inlineStr">
        <is>
          <t>EMD-50270</t>
        </is>
      </c>
      <c r="B1878" t="inlineStr">
        <is>
          <t>amyloid</t>
        </is>
      </c>
      <c r="C1878" t="n">
        <v>3.6</v>
      </c>
      <c r="D1878" t="n">
        <v>4.9158</v>
      </c>
      <c r="E1878" t="n">
        <v>-0.7425</v>
      </c>
      <c r="F1878" t="inlineStr">
        <is>
          <t>C1</t>
        </is>
      </c>
      <c r="G1878" t="inlineStr">
        <is>
          <t>4.917371844</t>
        </is>
      </c>
      <c r="H1878" t="n">
        <v>-0.859614479</v>
      </c>
      <c r="I1878" t="inlineStr">
        <is>
          <t>C1</t>
        </is>
      </c>
      <c r="J1878" t="n">
        <v>0.06360045</v>
      </c>
      <c r="K1878" t="inlineStr"/>
      <c r="L1878" t="n">
        <v>0.861103339</v>
      </c>
      <c r="M1878" t="n">
        <v>0.852265492</v>
      </c>
      <c r="N1878" t="inlineStr">
        <is>
          <t>Yes</t>
        </is>
      </c>
      <c r="O1878" t="inlineStr">
        <is>
          <t>equal</t>
        </is>
      </c>
      <c r="P1878" t="inlineStr">
        <is>
          <t>deposited</t>
        </is>
      </c>
      <c r="Q1878" t="inlineStr"/>
      <c r="R1878" t="inlineStr"/>
      <c r="S1878">
        <f>HYPERLINK("https://helical-indexing-hi3d.streamlit.app/?emd_id=emd-50270&amp;rise=4.917371844&amp;twist=-0.859614479&amp;csym=1&amp;rise2=4.9158&amp;twist2=-0.7425&amp;csym2=1", "Link")</f>
        <v/>
      </c>
    </row>
    <row r="1879">
      <c r="A1879" t="inlineStr">
        <is>
          <t>EMD-19943</t>
        </is>
      </c>
      <c r="B1879" t="inlineStr">
        <is>
          <t>non-amyloid</t>
        </is>
      </c>
      <c r="C1879" t="n">
        <v>3.06</v>
      </c>
      <c r="D1879" t="n">
        <v>5.45</v>
      </c>
      <c r="E1879" t="n">
        <v>107.91</v>
      </c>
      <c r="F1879" t="inlineStr">
        <is>
          <t>C1</t>
        </is>
      </c>
      <c r="G1879" t="inlineStr">
        <is>
          <t>5.443346601</t>
        </is>
      </c>
      <c r="H1879" t="n">
        <v>107.8745018</v>
      </c>
      <c r="I1879" t="inlineStr">
        <is>
          <t>C1</t>
        </is>
      </c>
      <c r="J1879" t="n">
        <v>0.017643067414498</v>
      </c>
      <c r="K1879" t="inlineStr"/>
      <c r="L1879" t="n">
        <v>0.680729815</v>
      </c>
      <c r="M1879" t="n">
        <v>0.6839901309999999</v>
      </c>
      <c r="N1879" t="inlineStr">
        <is>
          <t>Yes</t>
        </is>
      </c>
      <c r="O1879" t="inlineStr">
        <is>
          <t>equal</t>
        </is>
      </c>
      <c r="P1879" t="inlineStr">
        <is>
          <t>deposited</t>
        </is>
      </c>
      <c r="Q1879" t="inlineStr"/>
      <c r="R1879" t="inlineStr"/>
      <c r="S1879">
        <f>HYPERLINK("https://helical-indexing-hi3d.streamlit.app/?emd_id=emd-19943&amp;rise=5.443346601&amp;twist=107.8745018&amp;csym=1&amp;rise2=5.45&amp;twist2=107.91&amp;csym2=1", "Link")</f>
        <v/>
      </c>
    </row>
    <row r="1880">
      <c r="A1880" t="inlineStr">
        <is>
          <t>EMD-50888</t>
        </is>
      </c>
      <c r="B1880" t="inlineStr">
        <is>
          <t>amyloid</t>
        </is>
      </c>
      <c r="C1880" t="n">
        <v>2.23</v>
      </c>
      <c r="D1880" t="n">
        <v>2.37</v>
      </c>
      <c r="E1880" t="n">
        <v>179.5</v>
      </c>
      <c r="F1880" t="inlineStr">
        <is>
          <t>C1</t>
        </is>
      </c>
      <c r="G1880" t="inlineStr">
        <is>
          <t>2.365368706</t>
        </is>
      </c>
      <c r="H1880" t="n">
        <v>179.4978695</v>
      </c>
      <c r="I1880" t="inlineStr">
        <is>
          <t>C1</t>
        </is>
      </c>
      <c r="J1880" t="n">
        <v>0.004907112</v>
      </c>
      <c r="K1880" t="inlineStr"/>
      <c r="L1880" t="n">
        <v>0.877368614</v>
      </c>
      <c r="M1880" t="n">
        <v>0.879279642</v>
      </c>
      <c r="N1880" t="inlineStr">
        <is>
          <t>Yes</t>
        </is>
      </c>
      <c r="O1880" t="inlineStr">
        <is>
          <t>equal</t>
        </is>
      </c>
      <c r="P1880" t="inlineStr">
        <is>
          <t>deposited</t>
        </is>
      </c>
      <c r="Q1880" t="inlineStr"/>
      <c r="R1880" t="inlineStr"/>
      <c r="S1880">
        <f>HYPERLINK("https://helical-indexing-hi3d.streamlit.app/?emd_id=emd-50888&amp;rise=2.365368706&amp;twist=179.4978695&amp;csym=1&amp;rise2=2.37&amp;twist2=179.5&amp;csym2=1", "Link")</f>
        <v/>
      </c>
    </row>
    <row r="1881">
      <c r="A1881" t="inlineStr">
        <is>
          <t>EMD-50860</t>
        </is>
      </c>
      <c r="B1881" t="inlineStr">
        <is>
          <t>amyloid</t>
        </is>
      </c>
      <c r="C1881" t="n">
        <v>2.86</v>
      </c>
      <c r="D1881" t="n">
        <v>4.82</v>
      </c>
      <c r="E1881" t="n">
        <v>-0.8</v>
      </c>
      <c r="F1881" t="inlineStr">
        <is>
          <t>C2</t>
        </is>
      </c>
      <c r="G1881" t="inlineStr">
        <is>
          <t>4.786666652</t>
        </is>
      </c>
      <c r="H1881" t="n">
        <v>-0.80805331</v>
      </c>
      <c r="I1881" t="inlineStr">
        <is>
          <t>C2</t>
        </is>
      </c>
      <c r="J1881" t="n">
        <v>0.0334558277308132</v>
      </c>
      <c r="K1881" t="inlineStr"/>
      <c r="L1881" t="n">
        <v>0.910518613</v>
      </c>
      <c r="M1881" t="n">
        <v>0.842978119</v>
      </c>
      <c r="N1881" t="inlineStr">
        <is>
          <t>Yes</t>
        </is>
      </c>
      <c r="O1881" t="inlineStr">
        <is>
          <t>equal</t>
        </is>
      </c>
      <c r="P1881" t="inlineStr">
        <is>
          <t>deposited</t>
        </is>
      </c>
      <c r="Q1881" t="inlineStr"/>
      <c r="R1881" t="inlineStr"/>
      <c r="S1881">
        <f>HYPERLINK("https://helical-indexing-hi3d.streamlit.app/?emd_id=emd-50860&amp;rise=4.786666652&amp;twist=-0.80805331&amp;csym=2&amp;rise2=4.82&amp;twist2=-0.8&amp;csym2=2", "Link")</f>
        <v/>
      </c>
    </row>
    <row r="1882">
      <c r="A1882" t="inlineStr">
        <is>
          <t>EMD-19849</t>
        </is>
      </c>
      <c r="B1882" t="inlineStr">
        <is>
          <t>amyloid</t>
        </is>
      </c>
      <c r="C1882" t="n">
        <v>3.3</v>
      </c>
      <c r="D1882" t="n">
        <v>4.76</v>
      </c>
      <c r="E1882" t="n">
        <v>-1.07</v>
      </c>
      <c r="F1882" t="inlineStr">
        <is>
          <t>C1</t>
        </is>
      </c>
      <c r="G1882" t="inlineStr">
        <is>
          <t>4.77377265</t>
        </is>
      </c>
      <c r="H1882" t="n">
        <v>-1.074003901</v>
      </c>
      <c r="I1882" t="inlineStr">
        <is>
          <t>C1</t>
        </is>
      </c>
      <c r="J1882" t="n">
        <v>0.0139369202984302</v>
      </c>
      <c r="K1882" t="inlineStr"/>
      <c r="L1882" t="n">
        <v>0.969688876</v>
      </c>
      <c r="M1882" t="n">
        <v>0.941999398</v>
      </c>
      <c r="N1882" t="inlineStr">
        <is>
          <t>Yes</t>
        </is>
      </c>
      <c r="O1882" t="inlineStr">
        <is>
          <t>equal</t>
        </is>
      </c>
      <c r="P1882" t="inlineStr">
        <is>
          <t>deposited</t>
        </is>
      </c>
      <c r="Q1882" t="inlineStr"/>
      <c r="R1882" t="inlineStr"/>
      <c r="S1882">
        <f>HYPERLINK("https://helical-indexing-hi3d.streamlit.app/?emd_id=emd-19849&amp;rise=4.77377265&amp;twist=-1.074003901&amp;csym=1&amp;rise2=4.76&amp;twist2=-1.07&amp;csym2=1", "Link")</f>
        <v/>
      </c>
    </row>
    <row r="1883">
      <c r="A1883" t="inlineStr">
        <is>
          <t>EMD-19846</t>
        </is>
      </c>
      <c r="B1883" t="inlineStr">
        <is>
          <t>amyloid</t>
        </is>
      </c>
      <c r="C1883" t="n">
        <v>2.8</v>
      </c>
      <c r="D1883" t="n">
        <v>2.37</v>
      </c>
      <c r="E1883" t="n">
        <v>179.4</v>
      </c>
      <c r="F1883" t="inlineStr">
        <is>
          <t>C1</t>
        </is>
      </c>
      <c r="G1883" t="inlineStr">
        <is>
          <t>2.372004532</t>
        </is>
      </c>
      <c r="H1883" t="n">
        <v>179.3970629</v>
      </c>
      <c r="I1883" t="inlineStr">
        <is>
          <t>C1</t>
        </is>
      </c>
      <c r="J1883" t="n">
        <v>0.002591131</v>
      </c>
      <c r="K1883" t="inlineStr"/>
      <c r="L1883" t="n">
        <v>0.96942084</v>
      </c>
      <c r="M1883" t="n">
        <v>0.9669702489999999</v>
      </c>
      <c r="N1883" t="inlineStr">
        <is>
          <t>Yes</t>
        </is>
      </c>
      <c r="O1883" t="inlineStr">
        <is>
          <t>equal</t>
        </is>
      </c>
      <c r="P1883" t="inlineStr">
        <is>
          <t>deposited</t>
        </is>
      </c>
      <c r="Q1883" t="inlineStr"/>
      <c r="R1883" t="inlineStr"/>
      <c r="S1883">
        <f>HYPERLINK("https://helical-indexing-hi3d.streamlit.app/?emd_id=emd-19846&amp;rise=2.372004532&amp;twist=179.3970629&amp;csym=1&amp;rise2=2.37&amp;twist2=179.4&amp;csym2=1", "Link")</f>
        <v/>
      </c>
    </row>
    <row r="1884">
      <c r="A1884" t="inlineStr">
        <is>
          <t>EMD-17730</t>
        </is>
      </c>
      <c r="B1884" t="inlineStr">
        <is>
          <t>non-amyloid</t>
        </is>
      </c>
      <c r="C1884" t="n">
        <v>2.98</v>
      </c>
      <c r="D1884" t="n">
        <v>2.782</v>
      </c>
      <c r="E1884" t="n">
        <v>-164.175</v>
      </c>
      <c r="F1884" t="inlineStr">
        <is>
          <t>C1</t>
        </is>
      </c>
      <c r="G1884" t="inlineStr">
        <is>
          <t>2.784339289</t>
        </is>
      </c>
      <c r="H1884" t="n">
        <v>-164.1803864</v>
      </c>
      <c r="I1884" t="inlineStr">
        <is>
          <t>C1</t>
        </is>
      </c>
      <c r="J1884" t="n">
        <v>0.003357952</v>
      </c>
      <c r="K1884" t="inlineStr"/>
      <c r="L1884" t="n">
        <v>0.770457532</v>
      </c>
      <c r="M1884" t="n">
        <v>0.7707607480000001</v>
      </c>
      <c r="N1884" t="inlineStr">
        <is>
          <t>Yes</t>
        </is>
      </c>
      <c r="O1884" t="inlineStr">
        <is>
          <t>equal</t>
        </is>
      </c>
      <c r="P1884" t="inlineStr">
        <is>
          <t>deposited</t>
        </is>
      </c>
      <c r="Q1884" t="inlineStr"/>
      <c r="R1884" t="inlineStr"/>
      <c r="S1884">
        <f>HYPERLINK("https://helical-indexing-hi3d.streamlit.app/?emd_id=emd-17730&amp;rise=2.784339289&amp;twist=-164.1803864&amp;csym=1&amp;rise2=2.782&amp;twist2=-164.175&amp;csym2=1", "Link")</f>
        <v/>
      </c>
    </row>
    <row r="1885">
      <c r="A1885" t="inlineStr">
        <is>
          <t>EMD-19852</t>
        </is>
      </c>
      <c r="B1885" t="inlineStr">
        <is>
          <t>amyloid</t>
        </is>
      </c>
      <c r="C1885" t="n">
        <v>2.3</v>
      </c>
      <c r="D1885" t="n">
        <v>4.76</v>
      </c>
      <c r="E1885" t="n">
        <v>-0.88</v>
      </c>
      <c r="F1885" t="inlineStr">
        <is>
          <t>C3</t>
        </is>
      </c>
      <c r="G1885" t="inlineStr">
        <is>
          <t>4.74740522</t>
        </is>
      </c>
      <c r="H1885" t="n">
        <v>-0.878542032</v>
      </c>
      <c r="I1885" t="inlineStr">
        <is>
          <t>C3</t>
        </is>
      </c>
      <c r="J1885" t="n">
        <v>0.0126210695815407</v>
      </c>
      <c r="K1885" t="inlineStr"/>
      <c r="L1885" t="n">
        <v>0.953000787</v>
      </c>
      <c r="M1885" t="n">
        <v>0.924213923</v>
      </c>
      <c r="N1885" t="inlineStr">
        <is>
          <t>Yes</t>
        </is>
      </c>
      <c r="O1885" t="inlineStr">
        <is>
          <t>equal</t>
        </is>
      </c>
      <c r="P1885" t="inlineStr">
        <is>
          <t>deposited</t>
        </is>
      </c>
      <c r="Q1885" t="inlineStr"/>
      <c r="R1885" t="inlineStr"/>
      <c r="S1885">
        <f>HYPERLINK("https://helical-indexing-hi3d.streamlit.app/?emd_id=emd-19852&amp;rise=4.74740522&amp;twist=-0.878542032&amp;csym=3&amp;rise2=4.76&amp;twist2=-0.88&amp;csym2=3", "Link")</f>
        <v/>
      </c>
    </row>
    <row r="1886">
      <c r="A1886" t="inlineStr">
        <is>
          <t>EMD-45565</t>
        </is>
      </c>
      <c r="B1886" t="inlineStr">
        <is>
          <t>non-amyloid</t>
        </is>
      </c>
      <c r="C1886" t="n">
        <v>3</v>
      </c>
      <c r="D1886" t="n">
        <v>27.38</v>
      </c>
      <c r="E1886" t="n">
        <v>167.88</v>
      </c>
      <c r="F1886" t="inlineStr">
        <is>
          <t>C1</t>
        </is>
      </c>
      <c r="G1886" t="inlineStr">
        <is>
          <t>27.41190769</t>
        </is>
      </c>
      <c r="H1886" t="n">
        <v>-166.9310655</v>
      </c>
      <c r="I1886" t="inlineStr">
        <is>
          <t>C1</t>
        </is>
      </c>
      <c r="J1886" t="n">
        <v>5.203299323773244</v>
      </c>
      <c r="K1886" t="inlineStr"/>
      <c r="L1886" t="n">
        <v>0.548508828</v>
      </c>
      <c r="M1886" t="n">
        <v>0.6901896239999999</v>
      </c>
      <c r="N1886" t="inlineStr">
        <is>
          <t>Yes</t>
        </is>
      </c>
      <c r="O1886" t="inlineStr">
        <is>
          <t>improve</t>
        </is>
      </c>
      <c r="P1886" t="inlineStr">
        <is>
          <t>twist sign</t>
        </is>
      </c>
      <c r="Q1886" t="inlineStr"/>
      <c r="R1886" t="inlineStr"/>
      <c r="S1886">
        <f>HYPERLINK("https://helical-indexing-hi3d.streamlit.app/?emd_id=emd-45565&amp;rise=27.41190769&amp;twist=-166.9310655&amp;csym=1&amp;rise2=27.38&amp;twist2=167.88&amp;csym2=1", "Link")</f>
        <v/>
      </c>
    </row>
    <row r="1887">
      <c r="A1887" t="inlineStr">
        <is>
          <t>EMD-60132</t>
        </is>
      </c>
      <c r="B1887" t="inlineStr">
        <is>
          <t>non-amyloid</t>
        </is>
      </c>
      <c r="C1887" t="n">
        <v>3.54</v>
      </c>
      <c r="D1887" t="n">
        <v>27.325</v>
      </c>
      <c r="E1887" t="n">
        <v>-166.693</v>
      </c>
      <c r="F1887" t="inlineStr">
        <is>
          <t>C1</t>
        </is>
      </c>
      <c r="G1887" t="inlineStr">
        <is>
          <t>27.43</t>
        </is>
      </c>
      <c r="H1887" t="n">
        <v>-166.7</v>
      </c>
      <c r="I1887" t="inlineStr">
        <is>
          <t>C1</t>
        </is>
      </c>
      <c r="J1887" t="n">
        <v>0.1050316422294761</v>
      </c>
      <c r="K1887" t="inlineStr"/>
      <c r="L1887" t="n">
        <v>0.879067204</v>
      </c>
      <c r="M1887" t="n">
        <v>0.918895912</v>
      </c>
      <c r="N1887" t="inlineStr">
        <is>
          <t>Yes</t>
        </is>
      </c>
      <c r="O1887" t="inlineStr">
        <is>
          <t>equal</t>
        </is>
      </c>
      <c r="P1887" t="inlineStr">
        <is>
          <t>deposited</t>
        </is>
      </c>
      <c r="Q1887" t="inlineStr"/>
      <c r="R1887" t="inlineStr"/>
      <c r="S1887">
        <f>HYPERLINK("https://helical-indexing-hi3d.streamlit.app/?emd_id=emd-60132&amp;rise=27.43&amp;twist=-166.7&amp;csym=1&amp;rise2=27.325&amp;twist2=-166.693&amp;csym2=1", "Link")</f>
        <v/>
      </c>
    </row>
    <row r="1888">
      <c r="A1888" t="inlineStr">
        <is>
          <t>EMD-51491</t>
        </is>
      </c>
      <c r="B1888" t="inlineStr">
        <is>
          <t>non-amyloid</t>
        </is>
      </c>
      <c r="C1888" t="n">
        <v>2.5</v>
      </c>
      <c r="D1888" t="n">
        <v>2.76</v>
      </c>
      <c r="E1888" t="n">
        <v>-167.2</v>
      </c>
      <c r="F1888" t="inlineStr">
        <is>
          <t>C1</t>
        </is>
      </c>
      <c r="G1888" t="inlineStr">
        <is>
          <t>27.56256856</t>
        </is>
      </c>
      <c r="H1888" t="n">
        <v>-167.1906856</v>
      </c>
      <c r="I1888" t="inlineStr">
        <is>
          <t>C1</t>
        </is>
      </c>
      <c r="J1888" t="n">
        <v>24.80256874943831</v>
      </c>
      <c r="K1888" t="inlineStr"/>
      <c r="L1888" t="n">
        <v>0.124543424</v>
      </c>
      <c r="M1888" t="n">
        <v>0.91484582</v>
      </c>
      <c r="N1888" t="inlineStr">
        <is>
          <t>Yes</t>
        </is>
      </c>
      <c r="O1888" t="inlineStr">
        <is>
          <t>improve</t>
        </is>
      </c>
      <c r="P1888" t="inlineStr">
        <is>
          <t>wrong value</t>
        </is>
      </c>
      <c r="Q1888" t="inlineStr">
        <is>
          <t>value is wrong in paper</t>
        </is>
      </c>
      <c r="R1888" t="inlineStr"/>
      <c r="S1888">
        <f>HYPERLINK("https://helical-indexing-hi3d.streamlit.app/?emd_id=emd-51491&amp;rise=27.56256856&amp;twist=-167.1906856&amp;csym=1&amp;rise2=2.76&amp;twist2=-167.2&amp;csym2=1", "Link")</f>
        <v/>
      </c>
    </row>
    <row r="1889">
      <c r="A1889" t="inlineStr">
        <is>
          <t>EMD-46977</t>
        </is>
      </c>
      <c r="B1889" t="inlineStr">
        <is>
          <t>non-amyloid</t>
        </is>
      </c>
      <c r="C1889" t="n">
        <v>5.6</v>
      </c>
      <c r="D1889" t="n">
        <v>16.11</v>
      </c>
      <c r="E1889" t="n">
        <v>177.9</v>
      </c>
      <c r="F1889" t="inlineStr">
        <is>
          <t>C1</t>
        </is>
      </c>
      <c r="G1889" t="inlineStr">
        <is>
          <t>16.11</t>
        </is>
      </c>
      <c r="H1889" t="n">
        <v>177.9</v>
      </c>
      <c r="I1889" t="inlineStr">
        <is>
          <t>C1</t>
        </is>
      </c>
      <c r="J1889" t="n">
        <v>0</v>
      </c>
      <c r="K1889" t="inlineStr"/>
      <c r="L1889" t="n">
        <v>0.75403141</v>
      </c>
      <c r="M1889" t="n">
        <v>0.75403141</v>
      </c>
      <c r="N1889" t="inlineStr">
        <is>
          <t>Yes</t>
        </is>
      </c>
      <c r="O1889" t="inlineStr">
        <is>
          <t>equal</t>
        </is>
      </c>
      <c r="P1889" t="inlineStr">
        <is>
          <t>deposited</t>
        </is>
      </c>
      <c r="Q1889" t="inlineStr"/>
      <c r="R1889" t="inlineStr"/>
      <c r="S1889">
        <f>HYPERLINK("https://helical-indexing-hi3d.streamlit.app/?emd_id=emd-46977&amp;rise=16.11&amp;twist=177.9&amp;csym=1&amp;rise2=16.11&amp;twist2=177.9&amp;csym2=1", "Link")</f>
        <v/>
      </c>
    </row>
    <row r="1890">
      <c r="A1890" t="inlineStr">
        <is>
          <t>EMD-46599</t>
        </is>
      </c>
      <c r="B1890" t="inlineStr">
        <is>
          <t>amyloid</t>
        </is>
      </c>
      <c r="C1890" t="n">
        <v>3.3</v>
      </c>
      <c r="D1890" t="n">
        <v>4.68</v>
      </c>
      <c r="E1890" t="n">
        <v>-4.22</v>
      </c>
      <c r="F1890" t="inlineStr">
        <is>
          <t>C2</t>
        </is>
      </c>
      <c r="G1890" t="inlineStr">
        <is>
          <t>4.68</t>
        </is>
      </c>
      <c r="H1890" t="n">
        <v>-4.23</v>
      </c>
      <c r="I1890" t="inlineStr">
        <is>
          <t>C2</t>
        </is>
      </c>
      <c r="J1890" t="n">
        <v>0.001719182</v>
      </c>
      <c r="K1890" t="inlineStr"/>
      <c r="L1890" t="n">
        <v>0.959725078</v>
      </c>
      <c r="M1890" t="n">
        <v>0.959725078</v>
      </c>
      <c r="N1890" t="inlineStr">
        <is>
          <t>Yes</t>
        </is>
      </c>
      <c r="O1890" t="inlineStr">
        <is>
          <t>equal</t>
        </is>
      </c>
      <c r="P1890" t="inlineStr">
        <is>
          <t>deposited</t>
        </is>
      </c>
      <c r="Q1890" t="inlineStr"/>
      <c r="R1890" t="inlineStr"/>
      <c r="S1890">
        <f>HYPERLINK("https://helical-indexing-hi3d.streamlit.app/?emd_id=emd-46599&amp;rise=4.68&amp;twist=-4.23&amp;csym=2&amp;rise2=4.68&amp;twist2=-4.22&amp;csym2=2", "Link")</f>
        <v/>
      </c>
    </row>
    <row r="1891">
      <c r="A1891" t="inlineStr">
        <is>
          <t>EMD-60659</t>
        </is>
      </c>
      <c r="B1891" t="inlineStr">
        <is>
          <t>non-amyloid</t>
        </is>
      </c>
      <c r="C1891" t="n">
        <v>3.5</v>
      </c>
      <c r="D1891" t="n">
        <v>12.41</v>
      </c>
      <c r="E1891" t="n">
        <v>134.79</v>
      </c>
      <c r="F1891" t="inlineStr">
        <is>
          <t>C1</t>
        </is>
      </c>
      <c r="G1891" t="inlineStr">
        <is>
          <t>12.40322253</t>
        </is>
      </c>
      <c r="H1891" t="n">
        <v>-134.0635708</v>
      </c>
      <c r="I1891" t="inlineStr">
        <is>
          <t>C1</t>
        </is>
      </c>
      <c r="J1891" t="n">
        <v>13.16755962468081</v>
      </c>
      <c r="K1891" t="inlineStr"/>
      <c r="L1891" t="n">
        <v>0.572653093</v>
      </c>
      <c r="M1891" t="n">
        <v>0.88577987</v>
      </c>
      <c r="N1891" t="inlineStr">
        <is>
          <t>Yes</t>
        </is>
      </c>
      <c r="O1891" t="inlineStr">
        <is>
          <t>improve</t>
        </is>
      </c>
      <c r="P1891" t="inlineStr">
        <is>
          <t>twist sign</t>
        </is>
      </c>
      <c r="Q1891" t="inlineStr"/>
      <c r="R1891" t="inlineStr"/>
      <c r="S1891">
        <f>HYPERLINK("https://helical-indexing-hi3d.streamlit.app/?emd_id=emd-60659&amp;rise=12.40322253&amp;twist=-134.0635708&amp;csym=1&amp;rise2=12.41&amp;twist2=134.79&amp;csym2=1", "Link")</f>
        <v/>
      </c>
    </row>
    <row r="1892">
      <c r="A1892" t="inlineStr">
        <is>
          <t>EMD-46909</t>
        </is>
      </c>
      <c r="B1892" t="inlineStr">
        <is>
          <t>amyloid</t>
        </is>
      </c>
      <c r="C1892" t="n">
        <v>3.53</v>
      </c>
      <c r="D1892" t="n">
        <v>4.755</v>
      </c>
      <c r="E1892" t="n">
        <v>-0.871</v>
      </c>
      <c r="F1892" t="inlineStr">
        <is>
          <t>C1</t>
        </is>
      </c>
      <c r="G1892" t="inlineStr">
        <is>
          <t>2.384988962</t>
        </is>
      </c>
      <c r="H1892" t="n">
        <v>179.5734331</v>
      </c>
      <c r="I1892" t="inlineStr">
        <is>
          <t>C1</t>
        </is>
      </c>
      <c r="J1892" t="n">
        <v>63.93729714742978</v>
      </c>
      <c r="K1892" t="inlineStr"/>
      <c r="L1892" t="n">
        <v>0.967518117</v>
      </c>
      <c r="M1892" t="n">
        <v>0.909127048</v>
      </c>
      <c r="N1892" t="inlineStr">
        <is>
          <t>Yes</t>
        </is>
      </c>
      <c r="O1892" t="inlineStr">
        <is>
          <t>equal</t>
        </is>
      </c>
      <c r="P1892" t="inlineStr">
        <is>
          <t>different</t>
        </is>
      </c>
      <c r="Q1892" t="inlineStr">
        <is>
          <t>partial symmetry</t>
        </is>
      </c>
      <c r="R1892" t="inlineStr"/>
      <c r="S1892">
        <f>HYPERLINK("https://helical-indexing-hi3d.streamlit.app/?emd_id=emd-46909&amp;rise=2.384988962&amp;twist=179.5734331&amp;csym=1&amp;rise2=4.755&amp;twist2=-0.871&amp;csym2=1", "Link")</f>
        <v/>
      </c>
    </row>
    <row r="1893">
      <c r="A1893" t="inlineStr">
        <is>
          <t>EMD-46904</t>
        </is>
      </c>
      <c r="B1893" t="inlineStr">
        <is>
          <t>amyloid</t>
        </is>
      </c>
      <c r="C1893" t="n">
        <v>2.71</v>
      </c>
      <c r="D1893" t="n">
        <v>4.749</v>
      </c>
      <c r="E1893" t="n">
        <v>-0.8139999999999999</v>
      </c>
      <c r="F1893" t="inlineStr">
        <is>
          <t>C1</t>
        </is>
      </c>
      <c r="G1893" t="inlineStr">
        <is>
          <t>2.375</t>
        </is>
      </c>
      <c r="H1893" t="n">
        <v>179.593</v>
      </c>
      <c r="I1893" t="inlineStr">
        <is>
          <t>C1</t>
        </is>
      </c>
      <c r="J1893" t="n">
        <v>74.33449106314238</v>
      </c>
      <c r="K1893" t="inlineStr"/>
      <c r="L1893" t="n">
        <v>0.851511857</v>
      </c>
      <c r="M1893" t="n">
        <v>0.874271822</v>
      </c>
      <c r="N1893" t="inlineStr">
        <is>
          <t>Yes</t>
        </is>
      </c>
      <c r="O1893" t="inlineStr">
        <is>
          <t>equal</t>
        </is>
      </c>
      <c r="P1893" t="inlineStr">
        <is>
          <t>different</t>
        </is>
      </c>
      <c r="Q1893" t="inlineStr">
        <is>
          <t>partial symmetry</t>
        </is>
      </c>
      <c r="R1893" t="inlineStr"/>
      <c r="S1893">
        <f>HYPERLINK("https://helical-indexing-hi3d.streamlit.app/?emd_id=emd-46904&amp;rise=2.375&amp;twist=179.593&amp;csym=1&amp;rise2=4.749&amp;twist2=-0.814&amp;csym2=1", "Link")</f>
        <v/>
      </c>
    </row>
    <row r="1894">
      <c r="A1894" t="inlineStr">
        <is>
          <t>EMD-43188</t>
        </is>
      </c>
      <c r="B1894" t="inlineStr">
        <is>
          <t>non-amyloid</t>
        </is>
      </c>
      <c r="C1894" t="n">
        <v>3.6</v>
      </c>
      <c r="D1894" t="n">
        <v>109.86</v>
      </c>
      <c r="E1894" t="n">
        <v>53.33</v>
      </c>
      <c r="F1894" t="inlineStr">
        <is>
          <t>C1</t>
        </is>
      </c>
      <c r="G1894" t="inlineStr">
        <is>
          <t>27.4413476</t>
        </is>
      </c>
      <c r="H1894" t="n">
        <v>-166.5496389</v>
      </c>
      <c r="I1894" t="inlineStr">
        <is>
          <t>C1</t>
        </is>
      </c>
      <c r="J1894" t="n">
        <v>86.19972976403687</v>
      </c>
      <c r="K1894" t="inlineStr"/>
      <c r="L1894" t="n">
        <v>0.19158223</v>
      </c>
      <c r="M1894" t="n">
        <v>0.701937587</v>
      </c>
      <c r="N1894" t="inlineStr">
        <is>
          <t>Yes</t>
        </is>
      </c>
      <c r="O1894" t="inlineStr">
        <is>
          <t>improve</t>
        </is>
      </c>
      <c r="P1894" t="inlineStr">
        <is>
          <t>wrong value</t>
        </is>
      </c>
      <c r="Q1894" t="inlineStr"/>
      <c r="R1894" t="inlineStr"/>
      <c r="S1894">
        <f>HYPERLINK("https://helical-indexing-hi3d.streamlit.app/?emd_id=emd-43188&amp;rise=27.4413476&amp;twist=-166.5496389&amp;csym=1&amp;rise2=109.86&amp;twist2=53.33&amp;csym2=1", "Link")</f>
        <v/>
      </c>
    </row>
    <row r="1895">
      <c r="A1895" t="inlineStr">
        <is>
          <t>EMD-45135</t>
        </is>
      </c>
      <c r="B1895" t="inlineStr">
        <is>
          <t>non-amyloid</t>
        </is>
      </c>
      <c r="C1895" t="n">
        <v>3.4</v>
      </c>
      <c r="D1895" t="n">
        <v>27.5</v>
      </c>
      <c r="E1895" t="n">
        <v>166.77</v>
      </c>
      <c r="F1895" t="inlineStr">
        <is>
          <t>C1</t>
        </is>
      </c>
      <c r="G1895" t="inlineStr">
        <is>
          <t>27.29924355</t>
        </is>
      </c>
      <c r="H1895" t="n">
        <v>-166.8724038</v>
      </c>
      <c r="I1895" t="inlineStr">
        <is>
          <t>C1</t>
        </is>
      </c>
      <c r="J1895" t="n">
        <v>6.071407706141953</v>
      </c>
      <c r="K1895" t="inlineStr"/>
      <c r="L1895" t="n">
        <v>0.355341759</v>
      </c>
      <c r="M1895" t="n">
        <v>0.937666315</v>
      </c>
      <c r="N1895" t="inlineStr">
        <is>
          <t>Yes</t>
        </is>
      </c>
      <c r="O1895" t="inlineStr">
        <is>
          <t>improve</t>
        </is>
      </c>
      <c r="P1895" t="inlineStr">
        <is>
          <t>twist sign</t>
        </is>
      </c>
      <c r="Q1895" t="inlineStr"/>
      <c r="R1895" t="inlineStr"/>
      <c r="S1895">
        <f>HYPERLINK("https://helical-indexing-hi3d.streamlit.app/?emd_id=emd-45135&amp;rise=27.29924355&amp;twist=-166.8724038&amp;csym=1&amp;rise2=27.5&amp;twist2=166.77&amp;csym2=1", "Link")</f>
        <v/>
      </c>
    </row>
    <row r="1896">
      <c r="A1896" t="inlineStr">
        <is>
          <t>EMD-44477</t>
        </is>
      </c>
      <c r="B1896" t="inlineStr">
        <is>
          <t>non-amyloid</t>
        </is>
      </c>
      <c r="C1896" t="n">
        <v>3.4</v>
      </c>
      <c r="D1896" t="n">
        <v>39.9</v>
      </c>
      <c r="E1896" t="n">
        <v>31.6</v>
      </c>
      <c r="F1896" t="inlineStr">
        <is>
          <t>D2</t>
        </is>
      </c>
      <c r="G1896" t="inlineStr">
        <is>
          <t>39.9</t>
        </is>
      </c>
      <c r="H1896" t="n">
        <v>31.6</v>
      </c>
      <c r="I1896" t="inlineStr">
        <is>
          <t>C2</t>
        </is>
      </c>
      <c r="J1896" t="n">
        <v>0</v>
      </c>
      <c r="K1896" t="inlineStr"/>
      <c r="L1896" t="n">
        <v>0.697498202</v>
      </c>
      <c r="M1896" t="n">
        <v>0.697498202</v>
      </c>
      <c r="N1896" t="inlineStr">
        <is>
          <t>Yes</t>
        </is>
      </c>
      <c r="O1896" t="inlineStr">
        <is>
          <t>equal</t>
        </is>
      </c>
      <c r="P1896" t="inlineStr">
        <is>
          <t>deposited</t>
        </is>
      </c>
      <c r="Q1896" t="inlineStr"/>
      <c r="R1896" t="inlineStr"/>
      <c r="S1896">
        <f>HYPERLINK("https://helical-indexing-hi3d.streamlit.app/?emd_id=emd-44477&amp;rise=39.9&amp;twist=31.6&amp;csym=2&amp;rise2=39.9&amp;twist2=31.6&amp;csym2=2", "Link")</f>
        <v/>
      </c>
    </row>
    <row r="1897">
      <c r="A1897" t="inlineStr">
        <is>
          <t>EMD-38202</t>
        </is>
      </c>
      <c r="B1897" t="inlineStr">
        <is>
          <t>non-amyloid</t>
        </is>
      </c>
      <c r="C1897" t="n">
        <v>3.5</v>
      </c>
      <c r="D1897" t="n">
        <v>38.3</v>
      </c>
      <c r="E1897" t="n">
        <v>40.7</v>
      </c>
      <c r="F1897" t="inlineStr">
        <is>
          <t>C3</t>
        </is>
      </c>
      <c r="G1897" t="inlineStr">
        <is>
          <t>38.2577779</t>
        </is>
      </c>
      <c r="H1897" t="n">
        <v>-40.99075342</v>
      </c>
      <c r="I1897" t="inlineStr">
        <is>
          <t>C3</t>
        </is>
      </c>
      <c r="J1897" t="n">
        <v>11.85913356692492</v>
      </c>
      <c r="K1897" t="inlineStr"/>
      <c r="L1897" t="n">
        <v>0.5944732150000001</v>
      </c>
      <c r="M1897" t="n">
        <v>0.880285465</v>
      </c>
      <c r="N1897" t="inlineStr">
        <is>
          <t>Yes</t>
        </is>
      </c>
      <c r="O1897" t="inlineStr">
        <is>
          <t>improve</t>
        </is>
      </c>
      <c r="P1897" t="inlineStr">
        <is>
          <t>twist sign</t>
        </is>
      </c>
      <c r="Q1897" t="inlineStr"/>
      <c r="R1897" t="inlineStr"/>
      <c r="S1897">
        <f>HYPERLINK("https://helical-indexing-hi3d.streamlit.app/?emd_id=emd-38202&amp;rise=38.2577779&amp;twist=-40.99075342&amp;csym=3&amp;rise2=38.3&amp;twist2=40.7&amp;csym2=3", "Link")</f>
        <v/>
      </c>
    </row>
    <row r="1898">
      <c r="A1898" t="inlineStr">
        <is>
          <t>EMD-43640</t>
        </is>
      </c>
      <c r="B1898" t="inlineStr">
        <is>
          <t>non-amyloid</t>
        </is>
      </c>
      <c r="C1898" t="n">
        <v>5.5</v>
      </c>
      <c r="D1898" t="n">
        <v>30</v>
      </c>
      <c r="E1898" t="n">
        <v>60</v>
      </c>
      <c r="F1898" t="inlineStr">
        <is>
          <t>C2</t>
        </is>
      </c>
      <c r="G1898" t="inlineStr">
        <is>
          <t>30</t>
        </is>
      </c>
      <c r="H1898" t="n">
        <v>-60</v>
      </c>
      <c r="I1898" t="inlineStr">
        <is>
          <t>C1</t>
        </is>
      </c>
      <c r="J1898" t="n">
        <v>19.20782579949592</v>
      </c>
      <c r="K1898" t="inlineStr"/>
      <c r="L1898" t="n">
        <v>0.415082236</v>
      </c>
      <c r="M1898" t="n">
        <v>0.8273049220000001</v>
      </c>
      <c r="N1898" t="inlineStr">
        <is>
          <t>Yes</t>
        </is>
      </c>
      <c r="O1898" t="inlineStr">
        <is>
          <t>improve</t>
        </is>
      </c>
      <c r="P1898" t="inlineStr">
        <is>
          <t>twist sign</t>
        </is>
      </c>
      <c r="Q1898" t="inlineStr"/>
      <c r="R1898" t="inlineStr"/>
      <c r="S1898">
        <f>HYPERLINK("https://helical-indexing-hi3d.streamlit.app/?emd_id=emd-43640&amp;rise=30&amp;twist=-60.0&amp;csym=1&amp;rise2=30.0&amp;twist2=60.0&amp;csym2=2", "Link")</f>
        <v/>
      </c>
    </row>
    <row r="1899">
      <c r="A1899" t="inlineStr">
        <is>
          <t>EMD-38097</t>
        </is>
      </c>
      <c r="B1899" t="inlineStr">
        <is>
          <t>amyloid</t>
        </is>
      </c>
      <c r="C1899" t="n">
        <v>3</v>
      </c>
      <c r="D1899" t="n">
        <v>2.4056</v>
      </c>
      <c r="E1899" t="n">
        <v>-179.334</v>
      </c>
      <c r="F1899" t="inlineStr">
        <is>
          <t>C1</t>
        </is>
      </c>
      <c r="G1899" t="inlineStr">
        <is>
          <t>2.38</t>
        </is>
      </c>
      <c r="H1899" t="n">
        <v>-179.34</v>
      </c>
      <c r="I1899" t="inlineStr">
        <is>
          <t>C1</t>
        </is>
      </c>
      <c r="J1899" t="n">
        <v>0.025754696</v>
      </c>
      <c r="K1899" t="inlineStr"/>
      <c r="L1899" t="n">
        <v>0.739148182</v>
      </c>
      <c r="M1899" t="n">
        <v>0.739148182</v>
      </c>
      <c r="N1899" t="inlineStr">
        <is>
          <t>Yes</t>
        </is>
      </c>
      <c r="O1899" t="inlineStr">
        <is>
          <t>equal</t>
        </is>
      </c>
      <c r="P1899" t="inlineStr">
        <is>
          <t>deposited</t>
        </is>
      </c>
      <c r="Q1899" t="inlineStr"/>
      <c r="R1899" t="inlineStr"/>
      <c r="S1899">
        <f>HYPERLINK("https://helical-indexing-hi3d.streamlit.app/?emd_id=emd-38097&amp;rise=2.38&amp;twist=-179.34&amp;csym=1&amp;rise2=2.4056&amp;twist2=-179.334&amp;csym2=1", "Link")</f>
        <v/>
      </c>
    </row>
    <row r="1900">
      <c r="A1900" t="inlineStr">
        <is>
          <t>EMD-42932</t>
        </is>
      </c>
      <c r="B1900" t="inlineStr">
        <is>
          <t>amyloid</t>
        </is>
      </c>
      <c r="C1900" t="n">
        <v>2.72</v>
      </c>
      <c r="D1900" t="n">
        <v>2.72</v>
      </c>
      <c r="E1900" t="n">
        <v>3.025</v>
      </c>
      <c r="F1900" t="inlineStr">
        <is>
          <t>C1</t>
        </is>
      </c>
      <c r="G1900" t="inlineStr">
        <is>
          <t>3.98658005</t>
        </is>
      </c>
      <c r="H1900" t="n">
        <v>20.03720465</v>
      </c>
      <c r="I1900" t="inlineStr">
        <is>
          <t>C1</t>
        </is>
      </c>
      <c r="J1900" t="n">
        <v>11.63307901690647</v>
      </c>
      <c r="K1900" t="inlineStr"/>
      <c r="L1900" t="n">
        <v>0.143724764</v>
      </c>
      <c r="M1900" t="n">
        <v>0.968301037</v>
      </c>
      <c r="N1900" t="inlineStr">
        <is>
          <t>Yes</t>
        </is>
      </c>
      <c r="O1900" t="inlineStr">
        <is>
          <t>improve</t>
        </is>
      </c>
      <c r="P1900" t="inlineStr">
        <is>
          <t>wrong value</t>
        </is>
      </c>
      <c r="Q1900" t="inlineStr"/>
      <c r="R1900" t="inlineStr"/>
      <c r="S1900">
        <f>HYPERLINK("https://helical-indexing-hi3d.streamlit.app/?emd_id=emd-42932&amp;rise=3.98658005&amp;twist=20.03720465&amp;csym=1&amp;rise2=2.72&amp;twist2=3.025&amp;csym2=1", "Link")</f>
        <v/>
      </c>
    </row>
    <row r="1901">
      <c r="A1901" t="inlineStr">
        <is>
          <t>EMD-43868</t>
        </is>
      </c>
      <c r="B1901" t="inlineStr">
        <is>
          <t>non-amyloid</t>
        </is>
      </c>
      <c r="C1901" t="n">
        <v>4.1</v>
      </c>
      <c r="D1901" t="n">
        <v>111.12</v>
      </c>
      <c r="E1901" t="n">
        <v>-0.3</v>
      </c>
      <c r="F1901" t="inlineStr">
        <is>
          <t>C1</t>
        </is>
      </c>
      <c r="G1901" t="inlineStr">
        <is>
          <t>5.067152945</t>
        </is>
      </c>
      <c r="H1901" t="n">
        <v>65.41641697999999</v>
      </c>
      <c r="I1901" t="inlineStr">
        <is>
          <t>C1</t>
        </is>
      </c>
      <c r="J1901" t="n">
        <v>117.6872083044654</v>
      </c>
      <c r="K1901" t="inlineStr"/>
      <c r="L1901" t="n">
        <v>0.882472331</v>
      </c>
      <c r="M1901" t="n">
        <v>0.81528103</v>
      </c>
      <c r="N1901" t="inlineStr">
        <is>
          <t>Yes</t>
        </is>
      </c>
      <c r="O1901" t="inlineStr">
        <is>
          <t>equal</t>
        </is>
      </c>
      <c r="P1901" t="inlineStr">
        <is>
          <t>different</t>
        </is>
      </c>
      <c r="Q1901" t="inlineStr">
        <is>
          <t>partial symmetry</t>
        </is>
      </c>
      <c r="R1901" t="inlineStr"/>
      <c r="S1901">
        <f>HYPERLINK("https://helical-indexing-hi3d.streamlit.app/?emd_id=emd-43868&amp;rise=5.067152945&amp;twist=65.41641698&amp;csym=1&amp;rise2=111.12&amp;twist2=-0.3&amp;csym2=1", "Link")</f>
        <v/>
      </c>
    </row>
    <row r="1902">
      <c r="A1902" t="inlineStr">
        <is>
          <t>EMD-60657</t>
        </is>
      </c>
      <c r="B1902" t="inlineStr">
        <is>
          <t>non-amyloid</t>
        </is>
      </c>
      <c r="C1902" t="n">
        <v>3.51</v>
      </c>
      <c r="D1902" t="n">
        <v>12.33</v>
      </c>
      <c r="E1902" t="n">
        <v>78.06</v>
      </c>
      <c r="F1902" t="inlineStr">
        <is>
          <t>C1</t>
        </is>
      </c>
      <c r="G1902" t="inlineStr">
        <is>
          <t>12.32948803</t>
        </is>
      </c>
      <c r="H1902" t="n">
        <v>-78.00855595</v>
      </c>
      <c r="I1902" t="inlineStr">
        <is>
          <t>C1</t>
        </is>
      </c>
      <c r="J1902" t="n">
        <v>29.63527295073815</v>
      </c>
      <c r="K1902" t="inlineStr"/>
      <c r="L1902" t="n">
        <v>0.465092598</v>
      </c>
      <c r="M1902" t="n">
        <v>0.863623883</v>
      </c>
      <c r="N1902" t="inlineStr">
        <is>
          <t>Yes</t>
        </is>
      </c>
      <c r="O1902" t="inlineStr">
        <is>
          <t>improve</t>
        </is>
      </c>
      <c r="P1902" t="inlineStr">
        <is>
          <t>twist sign</t>
        </is>
      </c>
      <c r="Q1902" t="inlineStr"/>
      <c r="R1902" t="inlineStr"/>
      <c r="S1902">
        <f>HYPERLINK("https://helical-indexing-hi3d.streamlit.app/?emd_id=emd-60657&amp;rise=12.32948803&amp;twist=-78.00855595&amp;csym=1&amp;rise2=12.33&amp;twist2=78.06&amp;csym2=1", "Link")</f>
        <v/>
      </c>
    </row>
    <row r="1903">
      <c r="A1903" t="inlineStr">
        <is>
          <t>EMD-43829</t>
        </is>
      </c>
      <c r="B1903" t="inlineStr">
        <is>
          <t>non-amyloid</t>
        </is>
      </c>
      <c r="C1903" t="n">
        <v>3.4</v>
      </c>
      <c r="D1903" t="n">
        <v>110.25</v>
      </c>
      <c r="E1903" t="n">
        <v>-0.61</v>
      </c>
      <c r="F1903" t="inlineStr">
        <is>
          <t>C1</t>
        </is>
      </c>
      <c r="G1903" t="inlineStr">
        <is>
          <t>10.03183907</t>
        </is>
      </c>
      <c r="H1903" t="n">
        <v>130.8331911</v>
      </c>
      <c r="I1903" t="inlineStr">
        <is>
          <t>C1</t>
        </is>
      </c>
      <c r="J1903" t="n">
        <v>115.4366976167391</v>
      </c>
      <c r="K1903" t="inlineStr"/>
      <c r="L1903" t="n">
        <v>0.805070985</v>
      </c>
      <c r="M1903" t="n">
        <v>0.740658258</v>
      </c>
      <c r="N1903" t="inlineStr">
        <is>
          <t>Yes</t>
        </is>
      </c>
      <c r="O1903" t="inlineStr">
        <is>
          <t>equal</t>
        </is>
      </c>
      <c r="P1903" t="inlineStr">
        <is>
          <t>different</t>
        </is>
      </c>
      <c r="Q1903" t="inlineStr">
        <is>
          <t>partial symmetry</t>
        </is>
      </c>
      <c r="R1903" t="inlineStr"/>
      <c r="S1903">
        <f>HYPERLINK("https://helical-indexing-hi3d.streamlit.app/?emd_id=emd-43829&amp;rise=10.03183907&amp;twist=130.8331911&amp;csym=1&amp;rise2=110.25&amp;twist2=-0.61&amp;csym2=1", "Link")</f>
        <v/>
      </c>
    </row>
    <row r="1904">
      <c r="A1904" t="inlineStr">
        <is>
          <t>EMD-60656</t>
        </is>
      </c>
      <c r="B1904" t="inlineStr">
        <is>
          <t>non-amyloid</t>
        </is>
      </c>
      <c r="C1904" t="n">
        <v>3.22</v>
      </c>
      <c r="D1904" t="n">
        <v>11.54</v>
      </c>
      <c r="E1904" t="n">
        <v>75.13</v>
      </c>
      <c r="F1904" t="inlineStr">
        <is>
          <t>C1</t>
        </is>
      </c>
      <c r="G1904" t="inlineStr">
        <is>
          <t>11.54117399</t>
        </is>
      </c>
      <c r="H1904" t="n">
        <v>-75.14472465999999</v>
      </c>
      <c r="I1904" t="inlineStr">
        <is>
          <t>C1</t>
        </is>
      </c>
      <c r="J1904" t="n">
        <v>29.3604410987484</v>
      </c>
      <c r="K1904" t="inlineStr"/>
      <c r="L1904" t="n">
        <v>0.349904309</v>
      </c>
      <c r="M1904" t="n">
        <v>0.844355477</v>
      </c>
      <c r="N1904" t="inlineStr">
        <is>
          <t>Yes</t>
        </is>
      </c>
      <c r="O1904" t="inlineStr">
        <is>
          <t>improve</t>
        </is>
      </c>
      <c r="P1904" t="inlineStr">
        <is>
          <t>twist sign</t>
        </is>
      </c>
      <c r="Q1904" t="inlineStr"/>
      <c r="R1904" t="inlineStr"/>
      <c r="S1904">
        <f>HYPERLINK("https://helical-indexing-hi3d.streamlit.app/?emd_id=emd-60656&amp;rise=11.54117399&amp;twist=-75.14472466&amp;csym=1&amp;rise2=11.54&amp;twist2=75.13&amp;csym2=1", "Link")</f>
        <v/>
      </c>
    </row>
    <row r="1905">
      <c r="A1905" t="inlineStr">
        <is>
          <t>EMD-47092</t>
        </is>
      </c>
      <c r="B1905" t="inlineStr">
        <is>
          <t>amyloid</t>
        </is>
      </c>
      <c r="C1905" t="n">
        <v>4.41</v>
      </c>
      <c r="D1905" t="n">
        <v>4.82</v>
      </c>
      <c r="E1905" t="n">
        <v>-0.93</v>
      </c>
      <c r="F1905" t="inlineStr">
        <is>
          <t>C2</t>
        </is>
      </c>
      <c r="G1905" t="inlineStr">
        <is>
          <t>4.82</t>
        </is>
      </c>
      <c r="H1905" t="n">
        <v>-0.93</v>
      </c>
      <c r="I1905" t="inlineStr">
        <is>
          <t>C2</t>
        </is>
      </c>
      <c r="J1905" t="n">
        <v>0</v>
      </c>
      <c r="K1905" t="inlineStr"/>
      <c r="L1905" t="n">
        <v>0.96473319</v>
      </c>
      <c r="M1905" t="n">
        <v>0.96473319</v>
      </c>
      <c r="N1905" t="inlineStr">
        <is>
          <t>Yes</t>
        </is>
      </c>
      <c r="O1905" t="inlineStr">
        <is>
          <t>equal</t>
        </is>
      </c>
      <c r="P1905" t="inlineStr">
        <is>
          <t>deposited</t>
        </is>
      </c>
      <c r="Q1905" t="inlineStr"/>
      <c r="R1905" t="inlineStr"/>
      <c r="S1905">
        <f>HYPERLINK("https://helical-indexing-hi3d.streamlit.app/?emd_id=emd-47092&amp;rise=4.82&amp;twist=-0.93&amp;csym=2&amp;rise2=4.82&amp;twist2=-0.93&amp;csym2=2", "Link")</f>
        <v/>
      </c>
    </row>
    <row r="1906">
      <c r="A1906" t="inlineStr">
        <is>
          <t>EMD-43585</t>
        </is>
      </c>
      <c r="B1906" t="inlineStr">
        <is>
          <t>non-amyloid</t>
        </is>
      </c>
      <c r="C1906" t="n">
        <v>4.24</v>
      </c>
      <c r="D1906" t="n">
        <v>43.22</v>
      </c>
      <c r="E1906" t="n">
        <v>-18.56</v>
      </c>
      <c r="F1906" t="inlineStr">
        <is>
          <t>C14</t>
        </is>
      </c>
      <c r="G1906" t="inlineStr">
        <is>
          <t>43.22</t>
        </is>
      </c>
      <c r="H1906" t="n">
        <v>18.56</v>
      </c>
      <c r="I1906" t="inlineStr">
        <is>
          <t>C14</t>
        </is>
      </c>
      <c r="J1906" t="n">
        <v>5.985831459728804</v>
      </c>
      <c r="K1906" t="inlineStr"/>
      <c r="L1906" t="n">
        <v>0.738915824</v>
      </c>
      <c r="M1906" t="n">
        <v>0.968073731</v>
      </c>
      <c r="N1906" t="inlineStr">
        <is>
          <t>Yes</t>
        </is>
      </c>
      <c r="O1906" t="inlineStr">
        <is>
          <t>improve</t>
        </is>
      </c>
      <c r="P1906" t="inlineStr">
        <is>
          <t>twist sign</t>
        </is>
      </c>
      <c r="Q1906" t="inlineStr"/>
      <c r="R1906" t="inlineStr"/>
      <c r="S1906">
        <f>HYPERLINK("https://helical-indexing-hi3d.streamlit.app/?emd_id=emd-43585&amp;rise=43.22&amp;twist=18.56&amp;csym=14&amp;rise2=43.22&amp;twist2=-18.56&amp;csym2=14", "Link")</f>
        <v/>
      </c>
    </row>
    <row r="1907">
      <c r="A1907" t="inlineStr">
        <is>
          <t>EMD-45610</t>
        </is>
      </c>
      <c r="B1907" t="inlineStr">
        <is>
          <t>non-amyloid</t>
        </is>
      </c>
      <c r="C1907" t="n">
        <v>3.2</v>
      </c>
      <c r="D1907" t="n">
        <v>0.6919999999999999</v>
      </c>
      <c r="E1907" t="n">
        <v>153.94</v>
      </c>
      <c r="F1907" t="inlineStr">
        <is>
          <t>C1</t>
        </is>
      </c>
      <c r="G1907" t="inlineStr">
        <is>
          <t>0.692</t>
        </is>
      </c>
      <c r="H1907" t="n">
        <v>153.94</v>
      </c>
      <c r="I1907" t="inlineStr">
        <is>
          <t>C1</t>
        </is>
      </c>
      <c r="J1907" t="n">
        <v>0</v>
      </c>
      <c r="K1907" t="inlineStr"/>
      <c r="L1907" t="n">
        <v>0.919207213</v>
      </c>
      <c r="M1907" t="n">
        <v>0.919207213</v>
      </c>
      <c r="N1907" t="inlineStr">
        <is>
          <t>Yes</t>
        </is>
      </c>
      <c r="O1907" t="inlineStr">
        <is>
          <t>equal</t>
        </is>
      </c>
      <c r="P1907" t="inlineStr">
        <is>
          <t>deposited</t>
        </is>
      </c>
      <c r="Q1907" t="inlineStr"/>
      <c r="R1907" t="inlineStr"/>
      <c r="S1907">
        <f>HYPERLINK("https://helical-indexing-hi3d.streamlit.app/?emd_id=emd-45610&amp;rise=0.692&amp;twist=153.94&amp;csym=1&amp;rise2=0.692&amp;twist2=153.94&amp;csym2=1", "Link")</f>
        <v/>
      </c>
    </row>
    <row r="1908">
      <c r="A1908" t="inlineStr">
        <is>
          <t>EMD-19863</t>
        </is>
      </c>
      <c r="B1908" t="inlineStr">
        <is>
          <t>non-amyloid</t>
        </is>
      </c>
      <c r="C1908" t="n">
        <v>5.5</v>
      </c>
      <c r="D1908" t="n">
        <v>2.53</v>
      </c>
      <c r="E1908" t="n">
        <v>62.4</v>
      </c>
      <c r="F1908" t="inlineStr">
        <is>
          <t>C1</t>
        </is>
      </c>
      <c r="G1908" t="inlineStr">
        <is>
          <t>2.493055266</t>
        </is>
      </c>
      <c r="H1908" t="n">
        <v>-62.41211613</v>
      </c>
      <c r="I1908" t="inlineStr">
        <is>
          <t>C1</t>
        </is>
      </c>
      <c r="J1908" t="n">
        <v>43.27969645135757</v>
      </c>
      <c r="K1908" t="inlineStr"/>
      <c r="L1908" t="n">
        <v>0.535392538</v>
      </c>
      <c r="M1908" t="n">
        <v>0.926073585</v>
      </c>
      <c r="N1908" t="inlineStr">
        <is>
          <t>Yes</t>
        </is>
      </c>
      <c r="O1908" t="inlineStr">
        <is>
          <t>improve</t>
        </is>
      </c>
      <c r="P1908" t="inlineStr">
        <is>
          <t>twist sign</t>
        </is>
      </c>
      <c r="Q1908" t="inlineStr"/>
      <c r="R1908" t="inlineStr"/>
      <c r="S1908">
        <f>HYPERLINK("https://helical-indexing-hi3d.streamlit.app/?emd_id=emd-19863&amp;rise=2.493055266&amp;twist=-62.41211613&amp;csym=1&amp;rise2=2.53&amp;twist2=62.4&amp;csym2=1", "Link")</f>
        <v/>
      </c>
    </row>
    <row r="1909">
      <c r="A1909" t="inlineStr">
        <is>
          <t>EMD-19864</t>
        </is>
      </c>
      <c r="B1909" t="inlineStr">
        <is>
          <t>non-amyloid</t>
        </is>
      </c>
      <c r="C1909" t="n">
        <v>6.4</v>
      </c>
      <c r="D1909" t="n">
        <v>2.13</v>
      </c>
      <c r="E1909" t="n">
        <v>53.15</v>
      </c>
      <c r="F1909" t="inlineStr">
        <is>
          <t>C1</t>
        </is>
      </c>
      <c r="G1909" t="inlineStr">
        <is>
          <t>2.131135821</t>
        </is>
      </c>
      <c r="H1909" t="n">
        <v>-53.14630694</v>
      </c>
      <c r="I1909" t="inlineStr">
        <is>
          <t>C1</t>
        </is>
      </c>
      <c r="J1909" t="n">
        <v>61.42622062882362</v>
      </c>
      <c r="K1909" t="inlineStr"/>
      <c r="L1909" t="n">
        <v>0.5103762670000001</v>
      </c>
      <c r="M1909" t="n">
        <v>0.932991951</v>
      </c>
      <c r="N1909" t="inlineStr">
        <is>
          <t>Yes</t>
        </is>
      </c>
      <c r="O1909" t="inlineStr">
        <is>
          <t>improve</t>
        </is>
      </c>
      <c r="P1909" t="inlineStr">
        <is>
          <t>twist sign</t>
        </is>
      </c>
      <c r="Q1909" t="inlineStr"/>
      <c r="R1909" t="inlineStr"/>
      <c r="S1909">
        <f>HYPERLINK("https://helical-indexing-hi3d.streamlit.app/?emd_id=emd-19864&amp;rise=2.131135821&amp;twist=-53.14630694&amp;csym=1&amp;rise2=2.13&amp;twist2=53.15&amp;csym2=1", "Link")</f>
        <v/>
      </c>
    </row>
    <row r="1910">
      <c r="A1910" t="inlineStr">
        <is>
          <t>EMD-45130</t>
        </is>
      </c>
      <c r="B1910" t="inlineStr">
        <is>
          <t>amyloid</t>
        </is>
      </c>
      <c r="C1910" t="n">
        <v>2.31</v>
      </c>
      <c r="D1910" t="n">
        <v>4.69</v>
      </c>
      <c r="E1910" t="n">
        <v>2.58</v>
      </c>
      <c r="F1910" t="inlineStr">
        <is>
          <t>C1</t>
        </is>
      </c>
      <c r="G1910" t="inlineStr">
        <is>
          <t>4.69</t>
        </is>
      </c>
      <c r="H1910" t="n">
        <v>2.58</v>
      </c>
      <c r="I1910" t="inlineStr">
        <is>
          <t>C1</t>
        </is>
      </c>
      <c r="J1910" t="n">
        <v>0</v>
      </c>
      <c r="K1910" t="inlineStr"/>
      <c r="L1910" t="n">
        <v>0.691325847</v>
      </c>
      <c r="M1910" t="n">
        <v>0.691325847</v>
      </c>
      <c r="N1910" t="inlineStr">
        <is>
          <t>Yes</t>
        </is>
      </c>
      <c r="O1910" t="inlineStr">
        <is>
          <t>equal</t>
        </is>
      </c>
      <c r="P1910" t="inlineStr">
        <is>
          <t>deposited</t>
        </is>
      </c>
      <c r="Q1910" t="inlineStr"/>
      <c r="R1910" t="inlineStr"/>
      <c r="S1910">
        <f>HYPERLINK("https://helical-indexing-hi3d.streamlit.app/?emd_id=emd-45130&amp;rise=4.69&amp;twist=2.58&amp;csym=1&amp;rise2=4.69&amp;twist2=2.58&amp;csym2=1", "Link")</f>
        <v/>
      </c>
    </row>
    <row r="1911">
      <c r="A1911" t="inlineStr">
        <is>
          <t>EMD-50803</t>
        </is>
      </c>
      <c r="B1911" t="inlineStr">
        <is>
          <t>non-amyloid</t>
        </is>
      </c>
      <c r="C1911" t="n">
        <v>3.2</v>
      </c>
      <c r="D1911" t="n">
        <v>2.86924</v>
      </c>
      <c r="E1911" t="n">
        <v>14.732</v>
      </c>
      <c r="F1911" t="inlineStr">
        <is>
          <t>C1</t>
        </is>
      </c>
      <c r="G1911" t="inlineStr">
        <is>
          <t>2.858820848</t>
        </is>
      </c>
      <c r="H1911" t="n">
        <v>-14.7339863</v>
      </c>
      <c r="I1911" t="inlineStr">
        <is>
          <t>C1</t>
        </is>
      </c>
      <c r="J1911" t="n">
        <v>86.61956536804223</v>
      </c>
      <c r="K1911" t="inlineStr"/>
      <c r="L1911" t="n">
        <v>0.053528679</v>
      </c>
      <c r="M1911" t="n">
        <v>0.816676141</v>
      </c>
      <c r="N1911" t="inlineStr">
        <is>
          <t>Yes</t>
        </is>
      </c>
      <c r="O1911" t="inlineStr">
        <is>
          <t>improve</t>
        </is>
      </c>
      <c r="P1911" t="inlineStr">
        <is>
          <t>twist sign</t>
        </is>
      </c>
      <c r="Q1911" t="inlineStr"/>
      <c r="R1911" t="inlineStr"/>
      <c r="S1911">
        <f>HYPERLINK("https://helical-indexing-hi3d.streamlit.app/?emd_id=emd-50803&amp;rise=2.858820848&amp;twist=-14.7339863&amp;csym=1&amp;rise2=2.86924&amp;twist2=14.732&amp;csym2=1", "Link")</f>
        <v/>
      </c>
    </row>
    <row r="1912">
      <c r="A1912" t="inlineStr">
        <is>
          <t>EMD-42294</t>
        </is>
      </c>
      <c r="B1912" t="inlineStr">
        <is>
          <t>amyloid</t>
        </is>
      </c>
      <c r="C1912" t="n">
        <v>3.1</v>
      </c>
      <c r="D1912" t="n">
        <v>4.84</v>
      </c>
      <c r="E1912" t="n">
        <v>-0.84</v>
      </c>
      <c r="F1912" t="inlineStr">
        <is>
          <t>C1</t>
        </is>
      </c>
      <c r="G1912" t="inlineStr">
        <is>
          <t>2.393324079</t>
        </is>
      </c>
      <c r="H1912" t="n">
        <v>179.4999711</v>
      </c>
      <c r="I1912" t="inlineStr">
        <is>
          <t>C1</t>
        </is>
      </c>
      <c r="J1912" t="n">
        <v>45.08722943439562</v>
      </c>
      <c r="K1912" t="inlineStr"/>
      <c r="L1912" t="n">
        <v>0.746275137</v>
      </c>
      <c r="M1912" t="n">
        <v>0.7286650730000001</v>
      </c>
      <c r="N1912" t="inlineStr">
        <is>
          <t>Yes</t>
        </is>
      </c>
      <c r="O1912" t="inlineStr">
        <is>
          <t>equal</t>
        </is>
      </c>
      <c r="P1912" t="inlineStr">
        <is>
          <t>different</t>
        </is>
      </c>
      <c r="Q1912" t="inlineStr">
        <is>
          <t>partial symmetry</t>
        </is>
      </c>
      <c r="R1912" t="inlineStr"/>
      <c r="S1912">
        <f>HYPERLINK("https://helical-indexing-hi3d.streamlit.app/?emd_id=emd-42294&amp;rise=2.393324079&amp;twist=179.4999711&amp;csym=1&amp;rise2=4.84&amp;twist2=-0.84&amp;csym2=1", "Link")</f>
        <v/>
      </c>
    </row>
    <row r="1913">
      <c r="A1913" t="inlineStr">
        <is>
          <t>EMD-18430</t>
        </is>
      </c>
      <c r="B1913" t="inlineStr">
        <is>
          <t>non-amyloid</t>
        </is>
      </c>
      <c r="C1913" t="n">
        <v>6.6</v>
      </c>
      <c r="D1913" t="n">
        <v>1.76</v>
      </c>
      <c r="E1913" t="n">
        <v>84.90000000000001</v>
      </c>
      <c r="F1913" t="inlineStr">
        <is>
          <t>C1</t>
        </is>
      </c>
      <c r="G1913" t="inlineStr">
        <is>
          <t>1.751399564</t>
        </is>
      </c>
      <c r="H1913" t="n">
        <v>-84.8845551</v>
      </c>
      <c r="I1913" t="inlineStr">
        <is>
          <t>C1</t>
        </is>
      </c>
      <c r="J1913" t="n">
        <v>14.98614199048331</v>
      </c>
      <c r="K1913" t="inlineStr"/>
      <c r="L1913" t="n">
        <v>0.573482478</v>
      </c>
      <c r="M1913" t="n">
        <v>0.900217741</v>
      </c>
      <c r="N1913" t="inlineStr">
        <is>
          <t>Yes</t>
        </is>
      </c>
      <c r="O1913" t="inlineStr">
        <is>
          <t>improve</t>
        </is>
      </c>
      <c r="P1913" t="inlineStr">
        <is>
          <t>twist sign</t>
        </is>
      </c>
      <c r="Q1913" t="inlineStr"/>
      <c r="R1913" t="inlineStr"/>
      <c r="S1913">
        <f>HYPERLINK("https://helical-indexing-hi3d.streamlit.app/?emd_id=emd-18430&amp;rise=1.751399564&amp;twist=-84.8845551&amp;csym=1&amp;rise2=1.76&amp;twist2=84.9&amp;csym2=1", "Link")</f>
        <v/>
      </c>
    </row>
    <row r="1914">
      <c r="A1914" t="inlineStr">
        <is>
          <t>EMD-44636</t>
        </is>
      </c>
      <c r="B1914" t="inlineStr">
        <is>
          <t>non-amyloid</t>
        </is>
      </c>
      <c r="C1914" t="n">
        <v>3</v>
      </c>
      <c r="D1914" t="n">
        <v>1.162</v>
      </c>
      <c r="E1914" t="n">
        <v>46.52</v>
      </c>
      <c r="F1914" t="inlineStr">
        <is>
          <t>C2</t>
        </is>
      </c>
      <c r="G1914" t="inlineStr">
        <is>
          <t>1.162</t>
        </is>
      </c>
      <c r="H1914" t="n">
        <v>46.52</v>
      </c>
      <c r="I1914" t="inlineStr">
        <is>
          <t>C2</t>
        </is>
      </c>
      <c r="J1914" t="n">
        <v>0</v>
      </c>
      <c r="K1914" t="inlineStr"/>
      <c r="L1914" t="n">
        <v>0.963073182</v>
      </c>
      <c r="M1914" t="n">
        <v>0.963073182</v>
      </c>
      <c r="N1914" t="inlineStr">
        <is>
          <t>Yes</t>
        </is>
      </c>
      <c r="O1914" t="inlineStr">
        <is>
          <t>equal</t>
        </is>
      </c>
      <c r="P1914" t="inlineStr">
        <is>
          <t>deposited</t>
        </is>
      </c>
      <c r="Q1914" t="inlineStr"/>
      <c r="R1914" t="inlineStr"/>
      <c r="S1914">
        <f>HYPERLINK("https://helical-indexing-hi3d.streamlit.app/?emd_id=emd-44636&amp;rise=1.162&amp;twist=46.52&amp;csym=2&amp;rise2=1.162&amp;twist2=46.52&amp;csym2=2", "Link")</f>
        <v/>
      </c>
    </row>
    <row r="1915">
      <c r="A1915" t="inlineStr">
        <is>
          <t>EMD-18428</t>
        </is>
      </c>
      <c r="B1915" t="inlineStr">
        <is>
          <t>non-amyloid</t>
        </is>
      </c>
      <c r="C1915" t="n">
        <v>6.3</v>
      </c>
      <c r="D1915" t="n">
        <v>1.96</v>
      </c>
      <c r="E1915" t="n">
        <v>-95.7</v>
      </c>
      <c r="F1915" t="inlineStr">
        <is>
          <t>C1</t>
        </is>
      </c>
      <c r="G1915" t="inlineStr">
        <is>
          <t>1.952709999</t>
        </is>
      </c>
      <c r="H1915" t="n">
        <v>95.75125602999999</v>
      </c>
      <c r="I1915" t="inlineStr">
        <is>
          <t>C1</t>
        </is>
      </c>
      <c r="J1915" t="n">
        <v>14.93960990735073</v>
      </c>
      <c r="K1915" t="inlineStr"/>
      <c r="L1915" t="n">
        <v>0.471137138</v>
      </c>
      <c r="M1915" t="n">
        <v>0.898982434</v>
      </c>
      <c r="N1915" t="inlineStr">
        <is>
          <t>Yes</t>
        </is>
      </c>
      <c r="O1915" t="inlineStr">
        <is>
          <t>improve</t>
        </is>
      </c>
      <c r="P1915" t="inlineStr">
        <is>
          <t>twist sign</t>
        </is>
      </c>
      <c r="Q1915" t="inlineStr"/>
      <c r="R1915" t="inlineStr"/>
      <c r="S1915">
        <f>HYPERLINK("https://helical-indexing-hi3d.streamlit.app/?emd_id=emd-18428&amp;rise=1.952709999&amp;twist=95.75125603&amp;csym=1&amp;rise2=1.96&amp;twist2=-95.7&amp;csym2=1", "Link")</f>
        <v/>
      </c>
    </row>
    <row r="1916">
      <c r="A1916" t="inlineStr">
        <is>
          <t>EMD-44637</t>
        </is>
      </c>
      <c r="B1916" t="inlineStr">
        <is>
          <t>non-amyloid</t>
        </is>
      </c>
      <c r="C1916" t="n">
        <v>2.8</v>
      </c>
      <c r="D1916" t="n">
        <v>1.312</v>
      </c>
      <c r="E1916" t="n">
        <v>63.37</v>
      </c>
      <c r="F1916" t="inlineStr">
        <is>
          <t>C2</t>
        </is>
      </c>
      <c r="G1916" t="inlineStr">
        <is>
          <t>1.312</t>
        </is>
      </c>
      <c r="H1916" t="n">
        <v>63.37</v>
      </c>
      <c r="I1916" t="inlineStr">
        <is>
          <t>C2</t>
        </is>
      </c>
      <c r="J1916" t="n">
        <v>0</v>
      </c>
      <c r="K1916" t="inlineStr"/>
      <c r="L1916" t="n">
        <v>0.961816835</v>
      </c>
      <c r="M1916" t="n">
        <v>0.961816835</v>
      </c>
      <c r="N1916" t="inlineStr">
        <is>
          <t>Yes</t>
        </is>
      </c>
      <c r="O1916" t="inlineStr">
        <is>
          <t>equal</t>
        </is>
      </c>
      <c r="P1916" t="inlineStr">
        <is>
          <t>deposited</t>
        </is>
      </c>
      <c r="Q1916" t="inlineStr"/>
      <c r="R1916" t="inlineStr"/>
      <c r="S1916">
        <f>HYPERLINK("https://helical-indexing-hi3d.streamlit.app/?emd_id=emd-44637&amp;rise=1.312&amp;twist=63.37&amp;csym=2&amp;rise2=1.312&amp;twist2=63.37&amp;csym2=2", "Link")</f>
        <v/>
      </c>
    </row>
    <row r="1917">
      <c r="A1917" t="inlineStr">
        <is>
          <t>EMD-18426</t>
        </is>
      </c>
      <c r="B1917" t="inlineStr">
        <is>
          <t>non-amyloid</t>
        </is>
      </c>
      <c r="C1917" t="n">
        <v>6.9</v>
      </c>
      <c r="D1917" t="n">
        <v>2.18</v>
      </c>
      <c r="E1917" t="n">
        <v>83.40000000000001</v>
      </c>
      <c r="F1917" t="inlineStr">
        <is>
          <t>C1</t>
        </is>
      </c>
      <c r="G1917" t="inlineStr">
        <is>
          <t>2.188499219</t>
        </is>
      </c>
      <c r="H1917" t="n">
        <v>-83.43610966</v>
      </c>
      <c r="I1917" t="inlineStr">
        <is>
          <t>C1</t>
        </is>
      </c>
      <c r="J1917" t="n">
        <v>14.42172792198412</v>
      </c>
      <c r="K1917" t="inlineStr"/>
      <c r="L1917" t="n">
        <v>0.375668169</v>
      </c>
      <c r="M1917" t="n">
        <v>0.876522037</v>
      </c>
      <c r="N1917" t="inlineStr">
        <is>
          <t>Yes</t>
        </is>
      </c>
      <c r="O1917" t="inlineStr">
        <is>
          <t>improve</t>
        </is>
      </c>
      <c r="P1917" t="inlineStr">
        <is>
          <t>twist sign</t>
        </is>
      </c>
      <c r="Q1917" t="inlineStr"/>
      <c r="R1917" t="inlineStr"/>
      <c r="S1917">
        <f>HYPERLINK("https://helical-indexing-hi3d.streamlit.app/?emd_id=emd-18426&amp;rise=2.188499219&amp;twist=-83.43610966&amp;csym=1&amp;rise2=2.18&amp;twist2=83.4&amp;csym2=1", "Link")</f>
        <v/>
      </c>
    </row>
    <row r="1918">
      <c r="A1918" t="inlineStr">
        <is>
          <t>EMD-18432</t>
        </is>
      </c>
      <c r="B1918" t="inlineStr">
        <is>
          <t>non-amyloid</t>
        </is>
      </c>
      <c r="C1918" t="n">
        <v>6.6</v>
      </c>
      <c r="D1918" t="n">
        <v>1.57</v>
      </c>
      <c r="E1918" t="n">
        <v>-94.59999999999999</v>
      </c>
      <c r="F1918" t="inlineStr">
        <is>
          <t>C1</t>
        </is>
      </c>
      <c r="G1918" t="inlineStr">
        <is>
          <t>1.584022392</t>
        </is>
      </c>
      <c r="H1918" t="n">
        <v>94.6340206</v>
      </c>
      <c r="I1918" t="inlineStr">
        <is>
          <t>C1</t>
        </is>
      </c>
      <c r="J1918" t="n">
        <v>14.94643246665166</v>
      </c>
      <c r="K1918" t="inlineStr"/>
      <c r="L1918" t="n">
        <v>0.587402976</v>
      </c>
      <c r="M1918" t="n">
        <v>0.908569285</v>
      </c>
      <c r="N1918" t="inlineStr">
        <is>
          <t>Yes</t>
        </is>
      </c>
      <c r="O1918" t="inlineStr">
        <is>
          <t>improve</t>
        </is>
      </c>
      <c r="P1918" t="inlineStr">
        <is>
          <t>twist sign</t>
        </is>
      </c>
      <c r="Q1918" t="inlineStr"/>
      <c r="R1918" t="inlineStr"/>
      <c r="S1918">
        <f>HYPERLINK("https://helical-indexing-hi3d.streamlit.app/?emd_id=emd-18432&amp;rise=1.584022392&amp;twist=94.6340206&amp;csym=1&amp;rise2=1.57&amp;twist2=-94.6&amp;csym2=1", "Link")</f>
        <v/>
      </c>
    </row>
    <row r="1919">
      <c r="A1919" t="inlineStr">
        <is>
          <t>EMD-38108</t>
        </is>
      </c>
      <c r="B1919" t="inlineStr">
        <is>
          <t>amyloid</t>
        </is>
      </c>
      <c r="C1919" t="n">
        <v>3</v>
      </c>
      <c r="D1919" t="n">
        <v>4.80805</v>
      </c>
      <c r="E1919" t="n">
        <v>1.37857</v>
      </c>
      <c r="F1919" t="inlineStr">
        <is>
          <t>C1</t>
        </is>
      </c>
      <c r="G1919" t="inlineStr">
        <is>
          <t>2.404520612</t>
        </is>
      </c>
      <c r="H1919" t="n">
        <v>-179.3059659</v>
      </c>
      <c r="I1919" t="inlineStr">
        <is>
          <t>C1</t>
        </is>
      </c>
      <c r="J1919" t="n">
        <v>56.13780776496248</v>
      </c>
      <c r="K1919" t="inlineStr"/>
      <c r="L1919" t="n">
        <v>0.909287062</v>
      </c>
      <c r="M1919" t="n">
        <v>0.911407166</v>
      </c>
      <c r="N1919" t="inlineStr">
        <is>
          <t>Yes</t>
        </is>
      </c>
      <c r="O1919" t="inlineStr">
        <is>
          <t>equal</t>
        </is>
      </c>
      <c r="P1919" t="inlineStr">
        <is>
          <t>different</t>
        </is>
      </c>
      <c r="Q1919" t="inlineStr">
        <is>
          <t>partial symmetry</t>
        </is>
      </c>
      <c r="R1919" t="inlineStr"/>
      <c r="S1919">
        <f>HYPERLINK("https://helical-indexing-hi3d.streamlit.app/?emd_id=emd-38108&amp;rise=2.404520612&amp;twist=-179.3059659&amp;csym=1&amp;rise2=4.80805&amp;twist2=1.37857&amp;csym2=1", "Link")</f>
        <v/>
      </c>
    </row>
    <row r="1920">
      <c r="A1920" t="inlineStr">
        <is>
          <t>EMD-35972</t>
        </is>
      </c>
      <c r="B1920" t="inlineStr">
        <is>
          <t>amyloid</t>
        </is>
      </c>
      <c r="C1920" t="n">
        <v>2.5</v>
      </c>
      <c r="D1920" t="n">
        <v>4.77</v>
      </c>
      <c r="E1920" t="n">
        <v>-2.17</v>
      </c>
      <c r="F1920" t="inlineStr">
        <is>
          <t>C1</t>
        </is>
      </c>
      <c r="G1920" t="inlineStr">
        <is>
          <t>2.387681619</t>
        </is>
      </c>
      <c r="H1920" t="n">
        <v>178.9146365</v>
      </c>
      <c r="I1920" t="inlineStr">
        <is>
          <t>C1</t>
        </is>
      </c>
      <c r="J1920" t="n">
        <v>44.18133878016732</v>
      </c>
      <c r="K1920" t="inlineStr"/>
      <c r="L1920" t="n">
        <v>0.801737186</v>
      </c>
      <c r="M1920" t="n">
        <v>0.635301058</v>
      </c>
      <c r="N1920" t="inlineStr">
        <is>
          <t>Yes</t>
        </is>
      </c>
      <c r="O1920" t="inlineStr">
        <is>
          <t>equal</t>
        </is>
      </c>
      <c r="P1920" t="inlineStr">
        <is>
          <t>different</t>
        </is>
      </c>
      <c r="Q1920" t="inlineStr">
        <is>
          <t>partial symmetry</t>
        </is>
      </c>
      <c r="R1920" t="inlineStr"/>
      <c r="S1920">
        <f>HYPERLINK("https://helical-indexing-hi3d.streamlit.app/?emd_id=emd-35972&amp;rise=2.387681619&amp;twist=178.9146365&amp;csym=1&amp;rise2=4.77&amp;twist2=-2.17&amp;csym2=1", "Link")</f>
        <v/>
      </c>
    </row>
    <row r="1921">
      <c r="A1921" t="inlineStr">
        <is>
          <t>EMD-38103</t>
        </is>
      </c>
      <c r="B1921" t="inlineStr">
        <is>
          <t>amyloid</t>
        </is>
      </c>
      <c r="C1921" t="n">
        <v>3.4</v>
      </c>
      <c r="D1921" t="n">
        <v>4.79952</v>
      </c>
      <c r="E1921" t="n">
        <v>1.60397</v>
      </c>
      <c r="F1921" t="inlineStr">
        <is>
          <t>C1</t>
        </is>
      </c>
      <c r="G1921" t="inlineStr">
        <is>
          <t>2.399570295</t>
        </is>
      </c>
      <c r="H1921" t="n">
        <v>-179.199568</v>
      </c>
      <c r="I1921" t="inlineStr">
        <is>
          <t>C1</t>
        </is>
      </c>
      <c r="J1921" t="n">
        <v>55.99369071476819</v>
      </c>
      <c r="K1921" t="inlineStr"/>
      <c r="L1921" t="n">
        <v>0.940637722</v>
      </c>
      <c r="M1921" t="n">
        <v>0.942019541</v>
      </c>
      <c r="N1921" t="inlineStr">
        <is>
          <t>Yes</t>
        </is>
      </c>
      <c r="O1921" t="inlineStr">
        <is>
          <t>equal</t>
        </is>
      </c>
      <c r="P1921" t="inlineStr">
        <is>
          <t>different</t>
        </is>
      </c>
      <c r="Q1921" t="inlineStr">
        <is>
          <t>partial symmetry</t>
        </is>
      </c>
      <c r="R1921" t="inlineStr"/>
      <c r="S1921">
        <f>HYPERLINK("https://helical-indexing-hi3d.streamlit.app/?emd_id=emd-38103&amp;rise=2.399570295&amp;twist=-179.199568&amp;csym=1&amp;rise2=4.79952&amp;twist2=1.60397&amp;csym2=1", "Link")</f>
        <v/>
      </c>
    </row>
    <row r="1922">
      <c r="A1922" t="inlineStr">
        <is>
          <t>EMD-31367</t>
        </is>
      </c>
      <c r="B1922" t="inlineStr">
        <is>
          <t>non-amyloid</t>
        </is>
      </c>
      <c r="C1922" t="n">
        <v>2.9</v>
      </c>
      <c r="D1922" t="n">
        <v>3.49</v>
      </c>
      <c r="E1922" t="n">
        <v>-16.82</v>
      </c>
      <c r="F1922" t="inlineStr">
        <is>
          <t>C1</t>
        </is>
      </c>
      <c r="G1922" t="inlineStr">
        <is>
          <t>3.502732132</t>
        </is>
      </c>
      <c r="H1922" t="n">
        <v>-26.83471107</v>
      </c>
      <c r="I1922" t="inlineStr">
        <is>
          <t>C1</t>
        </is>
      </c>
      <c r="J1922" t="n">
        <v>12.85008474845721</v>
      </c>
      <c r="K1922" t="inlineStr"/>
      <c r="L1922" t="n">
        <v>0.039560322</v>
      </c>
      <c r="M1922" t="n">
        <v>0.817752465</v>
      </c>
      <c r="N1922" t="inlineStr">
        <is>
          <t>Yes</t>
        </is>
      </c>
      <c r="O1922" t="inlineStr">
        <is>
          <t>improve</t>
        </is>
      </c>
      <c r="P1922" t="inlineStr">
        <is>
          <t>paper mismatch</t>
        </is>
      </c>
      <c r="Q1922" t="inlineStr"/>
      <c r="R1922" t="inlineStr"/>
      <c r="S1922">
        <f>HYPERLINK("https://helical-indexing-hi3d.streamlit.app/?emd_id=emd-31367&amp;rise=3.502732132&amp;twist=-26.83471107&amp;csym=1&amp;rise2=3.49&amp;twist2=-16.82&amp;csym2=1", "Link")</f>
        <v/>
      </c>
    </row>
    <row r="1923">
      <c r="A1923" t="inlineStr">
        <is>
          <t>EMD-50272</t>
        </is>
      </c>
      <c r="B1923" t="inlineStr">
        <is>
          <t>amyloid</t>
        </is>
      </c>
      <c r="C1923" t="n">
        <v>3.9</v>
      </c>
      <c r="D1923" t="n">
        <v>4.9058</v>
      </c>
      <c r="E1923" t="n">
        <v>-0.7381</v>
      </c>
      <c r="F1923" t="inlineStr">
        <is>
          <t>C1</t>
        </is>
      </c>
      <c r="G1923" t="inlineStr">
        <is>
          <t>4.9058</t>
        </is>
      </c>
      <c r="H1923" t="n">
        <v>-0.7381</v>
      </c>
      <c r="I1923" t="inlineStr">
        <is>
          <t>C1</t>
        </is>
      </c>
      <c r="J1923" t="n">
        <v>0</v>
      </c>
      <c r="K1923" t="inlineStr"/>
      <c r="L1923" t="n">
        <v>0.809926954</v>
      </c>
      <c r="M1923" t="n">
        <v>0.809926954</v>
      </c>
      <c r="N1923" t="inlineStr">
        <is>
          <t>Yes</t>
        </is>
      </c>
      <c r="O1923" t="inlineStr">
        <is>
          <t>equal</t>
        </is>
      </c>
      <c r="P1923" t="inlineStr">
        <is>
          <t>deposited</t>
        </is>
      </c>
      <c r="Q1923" t="inlineStr"/>
      <c r="R1923" t="inlineStr"/>
      <c r="S1923">
        <f>HYPERLINK("https://helical-indexing-hi3d.streamlit.app/?emd_id=emd-50272&amp;rise=4.9058&amp;twist=-0.7381&amp;csym=1&amp;rise2=4.9058&amp;twist2=-0.7381&amp;csym2=1", "Link")</f>
        <v/>
      </c>
    </row>
    <row r="1924">
      <c r="A1924" t="inlineStr">
        <is>
          <t>EMD-17678</t>
        </is>
      </c>
      <c r="B1924" t="inlineStr">
        <is>
          <t>non-amyloid</t>
        </is>
      </c>
      <c r="C1924" t="n">
        <v>2.35</v>
      </c>
      <c r="D1924" t="n">
        <v>2.782</v>
      </c>
      <c r="E1924" t="n">
        <v>164.175</v>
      </c>
      <c r="F1924" t="inlineStr">
        <is>
          <t>C1</t>
        </is>
      </c>
      <c r="G1924" t="inlineStr">
        <is>
          <t>2.782</t>
        </is>
      </c>
      <c r="H1924" t="n">
        <v>-164.175</v>
      </c>
      <c r="I1924" t="inlineStr">
        <is>
          <t>C1</t>
        </is>
      </c>
      <c r="J1924" t="n">
        <v>12.62511650590286</v>
      </c>
      <c r="K1924" t="inlineStr"/>
      <c r="L1924" t="n">
        <v>0.22212663194239</v>
      </c>
      <c r="M1924" t="n">
        <v>0.4412856819199139</v>
      </c>
      <c r="N1924" t="inlineStr">
        <is>
          <t>Yes</t>
        </is>
      </c>
      <c r="O1924" t="inlineStr">
        <is>
          <t>improve</t>
        </is>
      </c>
      <c r="P1924" t="inlineStr">
        <is>
          <t>twist sign</t>
        </is>
      </c>
      <c r="Q1924" t="inlineStr"/>
      <c r="R1924" t="inlineStr"/>
      <c r="S1924">
        <f>HYPERLINK("https://helical-indexing-hi3d.streamlit.app/?emd_id=emd-17678&amp;rise=2.782&amp;twist=-164.175&amp;csym=1&amp;rise2=2.782&amp;twist2=164.175&amp;csym2=1", "Link")</f>
        <v/>
      </c>
    </row>
    <row r="1925">
      <c r="A1925" t="inlineStr">
        <is>
          <t>EMD-60959</t>
        </is>
      </c>
      <c r="B1925" t="inlineStr">
        <is>
          <t>non-amyloid</t>
        </is>
      </c>
      <c r="C1925" t="n">
        <v>2.08</v>
      </c>
      <c r="D1925" t="n">
        <v>65.30500000000001</v>
      </c>
      <c r="E1925" t="n">
        <v>4.801</v>
      </c>
      <c r="F1925" t="inlineStr">
        <is>
          <t>C1</t>
        </is>
      </c>
      <c r="G1925" t="inlineStr">
        <is>
          <t>4.800305494</t>
        </is>
      </c>
      <c r="H1925" t="n">
        <v>65.30442416</v>
      </c>
      <c r="I1925" t="inlineStr">
        <is>
          <t>C1</t>
        </is>
      </c>
      <c r="J1925" t="n">
        <v>70.31118805161522</v>
      </c>
      <c r="K1925" t="inlineStr"/>
      <c r="L1925" t="n">
        <v>0.481887033</v>
      </c>
      <c r="M1925" t="n">
        <v>0.9705433530000001</v>
      </c>
      <c r="N1925" t="inlineStr">
        <is>
          <t>Yes</t>
        </is>
      </c>
      <c r="O1925" t="inlineStr">
        <is>
          <t>improve</t>
        </is>
      </c>
      <c r="P1925" t="inlineStr">
        <is>
          <t>interchanged values</t>
        </is>
      </c>
      <c r="Q1925" t="inlineStr"/>
      <c r="R1925" t="inlineStr"/>
      <c r="S1925">
        <f>HYPERLINK("https://helical-indexing-hi3d.streamlit.app/?emd_id=emd-60959&amp;rise=4.800305494&amp;twist=65.30442416&amp;csym=1&amp;rise2=65.305&amp;twist2=4.801&amp;csym2=1", "Link")</f>
        <v/>
      </c>
    </row>
    <row r="1926">
      <c r="A1926" t="inlineStr">
        <is>
          <t>EMD-36909</t>
        </is>
      </c>
      <c r="B1926" t="inlineStr">
        <is>
          <t>non-amyloid</t>
        </is>
      </c>
      <c r="C1926" t="n">
        <v>15.5</v>
      </c>
      <c r="D1926" t="n">
        <v>22.3</v>
      </c>
      <c r="E1926" t="n">
        <v>-100</v>
      </c>
      <c r="F1926" t="inlineStr">
        <is>
          <t>C1</t>
        </is>
      </c>
      <c r="G1926" t="inlineStr">
        <is>
          <t>22.3</t>
        </is>
      </c>
      <c r="H1926" t="n">
        <v>-100</v>
      </c>
      <c r="I1926" t="inlineStr">
        <is>
          <t>C1</t>
        </is>
      </c>
      <c r="J1926" t="n">
        <v>0</v>
      </c>
      <c r="K1926" t="inlineStr"/>
      <c r="L1926" t="n">
        <v>0.969457169</v>
      </c>
      <c r="M1926" t="n">
        <v>0.969457169</v>
      </c>
      <c r="N1926" t="inlineStr">
        <is>
          <t>Yes</t>
        </is>
      </c>
      <c r="O1926" t="inlineStr">
        <is>
          <t>equal</t>
        </is>
      </c>
      <c r="P1926" t="inlineStr">
        <is>
          <t>deposited</t>
        </is>
      </c>
      <c r="Q1926" t="inlineStr"/>
      <c r="R1926" t="inlineStr"/>
      <c r="S1926">
        <f>HYPERLINK("https://helical-indexing-hi3d.streamlit.app/?emd_id=emd-36909&amp;rise=22.3&amp;twist=-100.0&amp;csym=1&amp;rise2=22.3&amp;twist2=-100.0&amp;csym2=1", "Link")</f>
        <v/>
      </c>
    </row>
    <row r="1927">
      <c r="A1927" t="inlineStr">
        <is>
          <t>EMD-41274</t>
        </is>
      </c>
      <c r="B1927" t="inlineStr">
        <is>
          <t>non-amyloid</t>
        </is>
      </c>
      <c r="C1927" t="n">
        <v>3.84</v>
      </c>
      <c r="D1927" t="n">
        <v>17.49</v>
      </c>
      <c r="E1927" t="n">
        <v>-167.25</v>
      </c>
      <c r="F1927" t="inlineStr">
        <is>
          <t>C1</t>
        </is>
      </c>
      <c r="G1927" t="inlineStr">
        <is>
          <t>27.31799353</t>
        </is>
      </c>
      <c r="H1927" t="n">
        <v>-167.1388168</v>
      </c>
      <c r="I1927" t="inlineStr">
        <is>
          <t>C1</t>
        </is>
      </c>
      <c r="J1927" t="n">
        <v>9.828029693266446</v>
      </c>
      <c r="K1927" t="inlineStr"/>
      <c r="L1927" t="n">
        <v>0.476873718</v>
      </c>
      <c r="M1927" t="n">
        <v>0.88714995</v>
      </c>
      <c r="N1927" t="inlineStr">
        <is>
          <t>Yes</t>
        </is>
      </c>
      <c r="O1927" t="inlineStr">
        <is>
          <t>improve</t>
        </is>
      </c>
      <c r="P1927" t="inlineStr">
        <is>
          <t>wrong value</t>
        </is>
      </c>
      <c r="Q1927" t="inlineStr"/>
      <c r="R1927" t="inlineStr"/>
      <c r="S1927">
        <f>HYPERLINK("https://helical-indexing-hi3d.streamlit.app/?emd_id=emd-41274&amp;rise=27.31799353&amp;twist=-167.1388168&amp;csym=1&amp;rise2=17.49&amp;twist2=-167.25&amp;csym2=1", "Link")</f>
        <v/>
      </c>
    </row>
    <row r="1928">
      <c r="A1928" t="inlineStr">
        <is>
          <t>EMD-36911</t>
        </is>
      </c>
      <c r="B1928" t="inlineStr">
        <is>
          <t>non-amyloid</t>
        </is>
      </c>
      <c r="C1928" t="n">
        <v>16.8</v>
      </c>
      <c r="D1928" t="n">
        <v>30.6</v>
      </c>
      <c r="E1928" t="n">
        <v>-137.2</v>
      </c>
      <c r="F1928" t="inlineStr">
        <is>
          <t>C1</t>
        </is>
      </c>
      <c r="G1928" t="inlineStr">
        <is>
          <t>30.6</t>
        </is>
      </c>
      <c r="H1928" t="n">
        <v>-137.2</v>
      </c>
      <c r="I1928" t="inlineStr">
        <is>
          <t>C1</t>
        </is>
      </c>
      <c r="J1928" t="n">
        <v>0</v>
      </c>
      <c r="K1928" t="inlineStr"/>
      <c r="L1928" t="n">
        <v>0.991059048</v>
      </c>
      <c r="M1928" t="n">
        <v>0.991059048</v>
      </c>
      <c r="N1928" t="inlineStr">
        <is>
          <t>Yes</t>
        </is>
      </c>
      <c r="O1928" t="inlineStr">
        <is>
          <t>equal</t>
        </is>
      </c>
      <c r="P1928" t="inlineStr">
        <is>
          <t>deposited</t>
        </is>
      </c>
      <c r="Q1928" t="inlineStr"/>
      <c r="R1928" t="inlineStr"/>
      <c r="S1928">
        <f>HYPERLINK("https://helical-indexing-hi3d.streamlit.app/?emd_id=emd-36911&amp;rise=30.6&amp;twist=-137.2&amp;csym=1&amp;rise2=30.6&amp;twist2=-137.2&amp;csym2=1", "Link")</f>
        <v/>
      </c>
    </row>
    <row r="1929">
      <c r="A1929" t="inlineStr">
        <is>
          <t>EMD-19758</t>
        </is>
      </c>
      <c r="B1929" t="inlineStr">
        <is>
          <t>non-amyloid</t>
        </is>
      </c>
      <c r="C1929" t="n">
        <v>3.39</v>
      </c>
      <c r="D1929" t="n">
        <v>13.241</v>
      </c>
      <c r="E1929" t="n">
        <v>28.983</v>
      </c>
      <c r="F1929" t="inlineStr">
        <is>
          <t>C1</t>
        </is>
      </c>
      <c r="G1929" t="inlineStr">
        <is>
          <t>2.646527837</t>
        </is>
      </c>
      <c r="H1929" t="n">
        <v>-66.18526082</v>
      </c>
      <c r="I1929" t="inlineStr">
        <is>
          <t>C1</t>
        </is>
      </c>
      <c r="J1929" t="n">
        <v>23.07655653515322</v>
      </c>
      <c r="K1929" t="inlineStr"/>
      <c r="L1929" t="n">
        <v>0.8857234825643775</v>
      </c>
      <c r="M1929" t="n">
        <v>0.8928904072700392</v>
      </c>
      <c r="N1929" t="inlineStr">
        <is>
          <t>Yes</t>
        </is>
      </c>
      <c r="O1929" t="inlineStr">
        <is>
          <t>improve</t>
        </is>
      </c>
      <c r="P1929" t="inlineStr">
        <is>
          <t>paper mismatch</t>
        </is>
      </c>
      <c r="Q1929" t="inlineStr">
        <is>
          <t>twist sign</t>
        </is>
      </c>
      <c r="R1929" t="inlineStr"/>
      <c r="S1929">
        <f>HYPERLINK("https://helical-indexing-hi3d.streamlit.app/?emd_id=emd-19758&amp;rise=2.646527837&amp;twist=-66.18526082&amp;csym=1&amp;rise2=13.241&amp;twist2=28.983&amp;csym2=1", "Link")</f>
        <v/>
      </c>
    </row>
    <row r="1930">
      <c r="A1930" t="inlineStr">
        <is>
          <t>EMD-44391</t>
        </is>
      </c>
      <c r="B1930" t="inlineStr">
        <is>
          <t>non-amyloid</t>
        </is>
      </c>
      <c r="C1930" t="n">
        <v>8.1</v>
      </c>
      <c r="D1930" t="n">
        <v>36.1</v>
      </c>
      <c r="E1930" t="n">
        <v>101.9</v>
      </c>
      <c r="F1930" t="inlineStr">
        <is>
          <t>C1</t>
        </is>
      </c>
      <c r="G1930" t="inlineStr">
        <is>
          <t>109.06</t>
        </is>
      </c>
      <c r="H1930" t="n">
        <v>-29.63</v>
      </c>
      <c r="I1930" t="inlineStr">
        <is>
          <t>C1</t>
        </is>
      </c>
      <c r="J1930" t="n">
        <v>73.79568145806122</v>
      </c>
      <c r="K1930" t="inlineStr"/>
      <c r="L1930" t="n">
        <v>0.639243945</v>
      </c>
      <c r="M1930" t="n">
        <v>0.723737116</v>
      </c>
      <c r="N1930" t="inlineStr">
        <is>
          <t>Yes</t>
        </is>
      </c>
      <c r="O1930" t="inlineStr">
        <is>
          <t>improve</t>
        </is>
      </c>
      <c r="P1930" t="inlineStr">
        <is>
          <t>interchanged values</t>
        </is>
      </c>
      <c r="Q1930" t="inlineStr">
        <is>
          <t>twist sign</t>
        </is>
      </c>
      <c r="R1930" t="inlineStr"/>
      <c r="S1930">
        <f>HYPERLINK("https://helical-indexing-hi3d.streamlit.app/?emd_id=emd-44391&amp;rise=109.06&amp;twist=-29.63&amp;csym=1&amp;rise2=36.1&amp;twist2=101.9&amp;csym2=1", "Link")</f>
        <v/>
      </c>
    </row>
    <row r="1931">
      <c r="A1931" t="inlineStr">
        <is>
          <t>EMD-50814</t>
        </is>
      </c>
      <c r="B1931" t="inlineStr">
        <is>
          <t>microtubule</t>
        </is>
      </c>
      <c r="C1931" t="n">
        <v>20</v>
      </c>
      <c r="D1931" t="n">
        <v>27.5</v>
      </c>
      <c r="E1931" t="n">
        <v>162</v>
      </c>
      <c r="F1931" t="inlineStr">
        <is>
          <t>C1</t>
        </is>
      </c>
      <c r="G1931" t="inlineStr">
        <is>
          <t>27.5</t>
        </is>
      </c>
      <c r="H1931" t="n">
        <v>162</v>
      </c>
      <c r="I1931" t="inlineStr">
        <is>
          <t>C1</t>
        </is>
      </c>
      <c r="J1931" t="n">
        <v>0</v>
      </c>
      <c r="K1931" t="inlineStr"/>
      <c r="L1931" t="n">
        <v>0.97473384</v>
      </c>
      <c r="M1931" t="n">
        <v>0.97473384</v>
      </c>
      <c r="N1931" t="inlineStr">
        <is>
          <t>Yes</t>
        </is>
      </c>
      <c r="O1931" t="inlineStr">
        <is>
          <t>improve</t>
        </is>
      </c>
      <c r="P1931" t="inlineStr">
        <is>
          <t>twist sign</t>
        </is>
      </c>
      <c r="Q1931" t="inlineStr"/>
      <c r="R1931" t="inlineStr"/>
      <c r="S1931">
        <f>HYPERLINK("https://helical-indexing-hi3d.streamlit.app/?emd_id=emd-50814&amp;rise=27.5&amp;twist=162.0&amp;csym=1&amp;rise2=27.5&amp;twist2=162.0&amp;csym2=1", "Link")</f>
        <v/>
      </c>
    </row>
    <row r="1932">
      <c r="A1932" t="inlineStr">
        <is>
          <t>EMD-50845</t>
        </is>
      </c>
      <c r="B1932" t="inlineStr">
        <is>
          <t>microtubule</t>
        </is>
      </c>
      <c r="C1932" t="n">
        <v>20</v>
      </c>
      <c r="D1932" t="n">
        <v>27.5</v>
      </c>
      <c r="E1932" t="n">
        <v>162</v>
      </c>
      <c r="F1932" t="inlineStr">
        <is>
          <t>C1</t>
        </is>
      </c>
      <c r="G1932" t="inlineStr">
        <is>
          <t>26.12</t>
        </is>
      </c>
      <c r="H1932" t="n">
        <v>-164.09</v>
      </c>
      <c r="I1932" t="inlineStr">
        <is>
          <t>C1</t>
        </is>
      </c>
      <c r="J1932" t="n">
        <v>3.99416563834036</v>
      </c>
      <c r="K1932" t="inlineStr"/>
      <c r="L1932" t="n">
        <v>0.765111622</v>
      </c>
      <c r="M1932" t="n">
        <v>0.97375408</v>
      </c>
      <c r="N1932" t="inlineStr">
        <is>
          <t>Yes</t>
        </is>
      </c>
      <c r="O1932" t="inlineStr">
        <is>
          <t>improve</t>
        </is>
      </c>
      <c r="P1932" t="inlineStr">
        <is>
          <t>twist sign</t>
        </is>
      </c>
      <c r="Q1932" t="inlineStr"/>
      <c r="R1932" t="inlineStr"/>
      <c r="S1932">
        <f>HYPERLINK("https://helical-indexing-hi3d.streamlit.app/?emd_id=emd-50845&amp;rise=26.12&amp;twist=-164.09&amp;csym=1&amp;rise2=27.5&amp;twist2=162.0&amp;csym2=1", "Link")</f>
        <v/>
      </c>
    </row>
    <row r="1933">
      <c r="A1933" t="inlineStr">
        <is>
          <t>EMD-61989</t>
        </is>
      </c>
      <c r="B1933" t="inlineStr">
        <is>
          <t>amyloid</t>
        </is>
      </c>
      <c r="C1933" t="n">
        <v>3.6</v>
      </c>
      <c r="D1933" t="n">
        <v>2.4</v>
      </c>
      <c r="E1933" t="n">
        <v>179.59</v>
      </c>
      <c r="F1933" t="inlineStr">
        <is>
          <t>C1</t>
        </is>
      </c>
      <c r="G1933" t="inlineStr">
        <is>
          <t>2.393332728834892</t>
        </is>
      </c>
      <c r="H1933" t="n">
        <v>179.5859528041241</v>
      </c>
      <c r="I1933" t="inlineStr">
        <is>
          <t>C1</t>
        </is>
      </c>
      <c r="J1933" t="n">
        <v>0.007065168</v>
      </c>
      <c r="K1933" t="inlineStr"/>
      <c r="L1933" t="n">
        <v>0.9451170579671364</v>
      </c>
      <c r="M1933" t="n">
        <v>0.95844059456695</v>
      </c>
      <c r="N1933" t="inlineStr">
        <is>
          <t>Yes</t>
        </is>
      </c>
      <c r="O1933" t="inlineStr">
        <is>
          <t>equal</t>
        </is>
      </c>
      <c r="P1933" t="inlineStr">
        <is>
          <t>deposited</t>
        </is>
      </c>
      <c r="Q1933" t="inlineStr"/>
      <c r="R1933" t="inlineStr"/>
      <c r="S1933">
        <f>HYPERLINK("https://helical-indexing-hi3d.streamlit.app/?emd_id=emd-61989&amp;rise=2.393332728834892&amp;twist=179.58595280412413&amp;csym=1&amp;rise2=2.4&amp;twist2=179.59&amp;csym2=1", "Link")</f>
        <v/>
      </c>
    </row>
    <row r="1934">
      <c r="A1934" t="inlineStr">
        <is>
          <t>EMD-47002</t>
        </is>
      </c>
      <c r="B1934" t="inlineStr">
        <is>
          <t>amyloid</t>
        </is>
      </c>
      <c r="C1934" t="n">
        <v>3.2</v>
      </c>
      <c r="D1934" t="n">
        <v>4.83</v>
      </c>
      <c r="E1934" t="n">
        <v>-0.7</v>
      </c>
      <c r="F1934" t="inlineStr">
        <is>
          <t>C1</t>
        </is>
      </c>
      <c r="G1934" t="inlineStr">
        <is>
          <t>4.823206079243351</t>
        </is>
      </c>
      <c r="H1934" t="n">
        <v>-0.6557667109999999</v>
      </c>
      <c r="I1934" t="inlineStr">
        <is>
          <t>C1</t>
        </is>
      </c>
      <c r="J1934" t="n">
        <v>0.0164342563212032</v>
      </c>
      <c r="K1934" t="inlineStr"/>
      <c r="L1934" t="n">
        <v>0.8862745359399231</v>
      </c>
      <c r="M1934" t="n">
        <v>0.8829192896462426</v>
      </c>
      <c r="N1934" t="inlineStr">
        <is>
          <t>Yes</t>
        </is>
      </c>
      <c r="O1934" t="inlineStr">
        <is>
          <t>equal</t>
        </is>
      </c>
      <c r="P1934" t="inlineStr">
        <is>
          <t>deposited</t>
        </is>
      </c>
      <c r="Q1934" t="inlineStr"/>
      <c r="R1934" t="inlineStr"/>
      <c r="S1934">
        <f>HYPERLINK("https://helical-indexing-hi3d.streamlit.app/?emd_id=emd-47002&amp;rise=4.823206079243351&amp;twist=-0.655766711&amp;csym=1&amp;rise2=4.83&amp;twist2=-0.7&amp;csym2=1", "Link")</f>
        <v/>
      </c>
    </row>
    <row r="1935">
      <c r="A1935" t="inlineStr">
        <is>
          <t>EMD-61988</t>
        </is>
      </c>
      <c r="B1935" t="inlineStr">
        <is>
          <t>amyloid</t>
        </is>
      </c>
      <c r="C1935" t="n">
        <v>2.6</v>
      </c>
      <c r="D1935" t="n">
        <v>2.4</v>
      </c>
      <c r="E1935" t="n">
        <v>179.55</v>
      </c>
      <c r="F1935" t="inlineStr">
        <is>
          <t>C1</t>
        </is>
      </c>
      <c r="G1935" t="inlineStr">
        <is>
          <t>2.3933331286452395</t>
        </is>
      </c>
      <c r="H1935" t="n">
        <v>179.5472626730046</v>
      </c>
      <c r="I1935" t="inlineStr">
        <is>
          <t>C1</t>
        </is>
      </c>
      <c r="J1935" t="n">
        <v>0.006834718</v>
      </c>
      <c r="K1935" t="inlineStr"/>
      <c r="L1935" t="n">
        <v>0.9324384464263046</v>
      </c>
      <c r="M1935" t="n">
        <v>0.927997629412222</v>
      </c>
      <c r="N1935" t="inlineStr">
        <is>
          <t>Yes</t>
        </is>
      </c>
      <c r="O1935" t="inlineStr">
        <is>
          <t>equal</t>
        </is>
      </c>
      <c r="P1935" t="inlineStr">
        <is>
          <t>deposited</t>
        </is>
      </c>
      <c r="Q1935" t="inlineStr"/>
      <c r="R1935" t="inlineStr"/>
      <c r="S1935">
        <f>HYPERLINK("https://helical-indexing-hi3d.streamlit.app/?emd_id=emd-61988&amp;rise=2.3933331286452395&amp;twist=179.54726267300458&amp;csym=1&amp;rise2=2.4&amp;twist2=179.55&amp;csym2=1", "Link")</f>
        <v/>
      </c>
    </row>
    <row r="1936">
      <c r="A1936" t="inlineStr">
        <is>
          <t>EMD-63250</t>
        </is>
      </c>
      <c r="B1936" t="inlineStr">
        <is>
          <t>amyloid</t>
        </is>
      </c>
      <c r="C1936" t="n">
        <v>3</v>
      </c>
      <c r="D1936" t="n">
        <v>2.4</v>
      </c>
      <c r="E1936" t="n">
        <v>179.58</v>
      </c>
      <c r="F1936" t="inlineStr">
        <is>
          <t>C1</t>
        </is>
      </c>
      <c r="G1936" t="inlineStr">
        <is>
          <t>2.3933332528599003</t>
        </is>
      </c>
      <c r="H1936" t="n">
        <v>179.5764343638049</v>
      </c>
      <c r="I1936" t="inlineStr">
        <is>
          <t>C1</t>
        </is>
      </c>
      <c r="J1936" t="n">
        <v>0.006887468</v>
      </c>
      <c r="K1936" t="inlineStr"/>
      <c r="L1936" t="n">
        <v>0.9533291811849314</v>
      </c>
      <c r="M1936" t="n">
        <v>0.9454902923295806</v>
      </c>
      <c r="N1936" t="inlineStr">
        <is>
          <t>Yes</t>
        </is>
      </c>
      <c r="O1936" t="inlineStr">
        <is>
          <t>equal</t>
        </is>
      </c>
      <c r="P1936" t="inlineStr">
        <is>
          <t>deposited</t>
        </is>
      </c>
      <c r="Q1936" t="inlineStr"/>
      <c r="R1936" t="inlineStr"/>
      <c r="S1936">
        <f>HYPERLINK("https://helical-indexing-hi3d.streamlit.app/?emd_id=emd-63250&amp;rise=2.3933332528599003&amp;twist=179.57643436380494&amp;csym=1&amp;rise2=2.4&amp;twist2=179.58&amp;csym2=1", "Link")</f>
        <v/>
      </c>
    </row>
    <row r="1937">
      <c r="A1937" t="inlineStr">
        <is>
          <t>EMD-45420</t>
        </is>
      </c>
      <c r="B1937" t="inlineStr">
        <is>
          <t>non-amyloid</t>
        </is>
      </c>
      <c r="C1937" t="n">
        <v>3.49</v>
      </c>
      <c r="D1937" t="n">
        <v>16.426</v>
      </c>
      <c r="E1937" t="n">
        <v>32.67</v>
      </c>
      <c r="F1937" t="inlineStr">
        <is>
          <t>C6</t>
        </is>
      </c>
      <c r="G1937" t="inlineStr">
        <is>
          <t>16.38011292153366</t>
        </is>
      </c>
      <c r="H1937" t="n">
        <v>32.70862422414311</v>
      </c>
      <c r="I1937" t="inlineStr">
        <is>
          <t>C3</t>
        </is>
      </c>
      <c r="J1937" t="n">
        <v>0.0550709296189575</v>
      </c>
      <c r="K1937" t="inlineStr"/>
      <c r="L1937" t="n">
        <v>0.966558718</v>
      </c>
      <c r="M1937" t="n">
        <v>0.9279499473072552</v>
      </c>
      <c r="N1937" t="inlineStr">
        <is>
          <t>Yes</t>
        </is>
      </c>
      <c r="O1937" t="inlineStr">
        <is>
          <t>equal</t>
        </is>
      </c>
      <c r="P1937" t="inlineStr">
        <is>
          <t>deposited</t>
        </is>
      </c>
      <c r="Q1937" t="inlineStr"/>
      <c r="R1937" t="inlineStr"/>
      <c r="S1937">
        <f>HYPERLINK("https://helical-indexing-hi3d.streamlit.app/?emd_id=emd-45420&amp;rise=16.38011292153366&amp;twist=32.70862422414311&amp;csym=3&amp;rise2=16.426&amp;twist2=32.67&amp;csym2=6", "Link")</f>
        <v/>
      </c>
    </row>
    <row r="1938">
      <c r="A1938" t="inlineStr">
        <is>
          <t>EMD-50748</t>
        </is>
      </c>
      <c r="B1938" t="inlineStr">
        <is>
          <t>non-amyloid</t>
        </is>
      </c>
      <c r="C1938" t="n">
        <v>2.91</v>
      </c>
      <c r="D1938" t="n">
        <v>15.4</v>
      </c>
      <c r="E1938" t="n">
        <v>-178.5</v>
      </c>
      <c r="F1938" t="inlineStr">
        <is>
          <t>C1</t>
        </is>
      </c>
      <c r="G1938" t="inlineStr">
        <is>
          <t>15.33729251971136</t>
        </is>
      </c>
      <c r="H1938" t="n">
        <v>-178.3567851</v>
      </c>
      <c r="I1938" t="inlineStr">
        <is>
          <t>C1</t>
        </is>
      </c>
      <c r="J1938" t="n">
        <v>0.084041241</v>
      </c>
      <c r="K1938" t="inlineStr"/>
      <c r="L1938" t="n">
        <v>0.8843884352923677</v>
      </c>
      <c r="M1938" t="n">
        <v>0.8824868718497211</v>
      </c>
      <c r="N1938" t="inlineStr">
        <is>
          <t>Yes</t>
        </is>
      </c>
      <c r="O1938" t="inlineStr">
        <is>
          <t>equal</t>
        </is>
      </c>
      <c r="P1938" t="inlineStr">
        <is>
          <t>deposited</t>
        </is>
      </c>
      <c r="Q1938" t="inlineStr"/>
      <c r="R1938" t="inlineStr"/>
      <c r="S1938">
        <f>HYPERLINK("https://helical-indexing-hi3d.streamlit.app/?emd_id=emd-50748&amp;rise=15.33729251971136&amp;twist=-178.3567851&amp;csym=1&amp;rise2=15.4&amp;twist2=-178.5&amp;csym2=1", "Link")</f>
        <v/>
      </c>
    </row>
    <row r="1939">
      <c r="A1939" t="inlineStr">
        <is>
          <t>EMD-44404</t>
        </is>
      </c>
      <c r="B1939" t="inlineStr">
        <is>
          <t>non-amyloid</t>
        </is>
      </c>
      <c r="C1939" t="n">
        <v>3.4</v>
      </c>
      <c r="D1939" t="n">
        <v>1.424</v>
      </c>
      <c r="E1939" t="n">
        <v>46.23</v>
      </c>
      <c r="F1939" t="inlineStr">
        <is>
          <t>C1</t>
        </is>
      </c>
      <c r="G1939" t="inlineStr">
        <is>
          <t>1.425944114156498</t>
        </is>
      </c>
      <c r="H1939" t="n">
        <v>46.22697681317766</v>
      </c>
      <c r="I1939" t="inlineStr">
        <is>
          <t>C1</t>
        </is>
      </c>
      <c r="J1939" t="n">
        <v>0.002053559</v>
      </c>
      <c r="K1939" t="inlineStr"/>
      <c r="L1939" t="n">
        <v>0.8715642048490663</v>
      </c>
      <c r="M1939" t="n">
        <v>0.8843268999843689</v>
      </c>
      <c r="N1939" t="inlineStr">
        <is>
          <t>Yes</t>
        </is>
      </c>
      <c r="O1939" t="inlineStr">
        <is>
          <t>equal</t>
        </is>
      </c>
      <c r="P1939" t="inlineStr">
        <is>
          <t>deposited</t>
        </is>
      </c>
      <c r="Q1939" t="inlineStr"/>
      <c r="R1939" t="inlineStr"/>
      <c r="S1939">
        <f>HYPERLINK("https://helical-indexing-hi3d.streamlit.app/?emd_id=emd-44404&amp;rise=1.425944114156498&amp;twist=46.22697681317766&amp;csym=1&amp;rise2=1.424&amp;twist2=46.23&amp;csym2=1", "Link")</f>
        <v/>
      </c>
    </row>
    <row r="1940">
      <c r="A1940" t="inlineStr">
        <is>
          <t>EMD-44403</t>
        </is>
      </c>
      <c r="B1940" t="inlineStr">
        <is>
          <t>non-amyloid</t>
        </is>
      </c>
      <c r="C1940" t="n">
        <v>3.5</v>
      </c>
      <c r="D1940" t="n">
        <v>11.156</v>
      </c>
      <c r="E1940" t="n">
        <v>9.586</v>
      </c>
      <c r="F1940" t="inlineStr">
        <is>
          <t>C8</t>
        </is>
      </c>
      <c r="G1940" t="inlineStr">
        <is>
          <t>11.158366513300056</t>
        </is>
      </c>
      <c r="H1940" t="n">
        <v>9.589174952871929</v>
      </c>
      <c r="I1940" t="inlineStr">
        <is>
          <t>C8</t>
        </is>
      </c>
      <c r="J1940" t="n">
        <v>0.002485423</v>
      </c>
      <c r="K1940" t="inlineStr"/>
      <c r="L1940" t="n">
        <v>0.9091819612517884</v>
      </c>
      <c r="M1940" t="n">
        <v>0.9065511744638072</v>
      </c>
      <c r="N1940" t="inlineStr">
        <is>
          <t>Yes</t>
        </is>
      </c>
      <c r="O1940" t="inlineStr">
        <is>
          <t>equal</t>
        </is>
      </c>
      <c r="P1940" t="inlineStr">
        <is>
          <t>deposited</t>
        </is>
      </c>
      <c r="Q1940" t="inlineStr"/>
      <c r="R1940" t="inlineStr"/>
      <c r="S1940">
        <f>HYPERLINK("https://helical-indexing-hi3d.streamlit.app/?emd_id=emd-44403&amp;rise=11.158366513300056&amp;twist=9.589174952871929&amp;csym=8&amp;rise2=11.156&amp;twist2=9.586&amp;csym2=8", "Link")</f>
        <v/>
      </c>
    </row>
    <row r="1941">
      <c r="A1941" t="inlineStr">
        <is>
          <t>EMD-19992</t>
        </is>
      </c>
      <c r="B1941" t="inlineStr">
        <is>
          <t>non-amyloid</t>
        </is>
      </c>
      <c r="C1941" t="n">
        <v>3.8</v>
      </c>
      <c r="D1941" t="n">
        <v>40.22</v>
      </c>
      <c r="E1941" t="n">
        <v>16.93</v>
      </c>
      <c r="F1941" t="inlineStr">
        <is>
          <t>C6</t>
        </is>
      </c>
      <c r="G1941" t="inlineStr">
        <is>
          <t>40.22</t>
        </is>
      </c>
      <c r="H1941" t="n">
        <v>16.93</v>
      </c>
      <c r="I1941" t="inlineStr">
        <is>
          <t>C6</t>
        </is>
      </c>
      <c r="J1941" t="n">
        <v>0</v>
      </c>
      <c r="K1941" t="inlineStr"/>
      <c r="L1941" t="n">
        <v>0.9779334028539588</v>
      </c>
      <c r="M1941" t="n">
        <v>0.9779334028539588</v>
      </c>
      <c r="N1941" t="inlineStr">
        <is>
          <t>Yes</t>
        </is>
      </c>
      <c r="O1941" t="inlineStr">
        <is>
          <t>equal</t>
        </is>
      </c>
      <c r="P1941" t="inlineStr">
        <is>
          <t>deposited</t>
        </is>
      </c>
      <c r="Q1941" t="inlineStr"/>
      <c r="R1941" t="inlineStr"/>
      <c r="S1941">
        <f>HYPERLINK("https://helical-indexing-hi3d.streamlit.app/?emd_id=emd-19992&amp;rise=40.22&amp;twist=16.93&amp;csym=6&amp;rise2=40.22&amp;twist2=16.93&amp;csym2=6", "Link")</f>
        <v/>
      </c>
    </row>
    <row r="1942">
      <c r="A1942" t="inlineStr">
        <is>
          <t>EMD-39492</t>
        </is>
      </c>
      <c r="B1942" t="inlineStr">
        <is>
          <t>non-amyloid</t>
        </is>
      </c>
      <c r="C1942" t="n">
        <v>3.6</v>
      </c>
      <c r="D1942" t="n">
        <v>35.998</v>
      </c>
      <c r="E1942" t="n">
        <v>-23</v>
      </c>
      <c r="F1942" t="inlineStr">
        <is>
          <t>C6</t>
        </is>
      </c>
      <c r="G1942" t="inlineStr">
        <is>
          <t>35.998</t>
        </is>
      </c>
      <c r="H1942" t="n">
        <v>-23</v>
      </c>
      <c r="I1942" t="inlineStr">
        <is>
          <t>C6</t>
        </is>
      </c>
      <c r="J1942" t="n">
        <v>0</v>
      </c>
      <c r="K1942" t="inlineStr"/>
      <c r="L1942" t="n">
        <v>0.903594966</v>
      </c>
      <c r="M1942" t="n">
        <v>0.903594966</v>
      </c>
      <c r="N1942" t="inlineStr">
        <is>
          <t>Yes</t>
        </is>
      </c>
      <c r="O1942" t="inlineStr">
        <is>
          <t>equal</t>
        </is>
      </c>
      <c r="P1942" t="inlineStr">
        <is>
          <t>deposited</t>
        </is>
      </c>
      <c r="Q1942" t="inlineStr"/>
      <c r="R1942" t="inlineStr"/>
      <c r="S1942">
        <f>HYPERLINK("https://helical-indexing-hi3d.streamlit.app/?emd_id=emd-39492&amp;rise=35.998&amp;twist=-23.0&amp;csym=6&amp;rise2=35.998&amp;twist2=-23.0&amp;csym2=6", "Link")</f>
        <v/>
      </c>
    </row>
    <row r="1943">
      <c r="A1943" t="inlineStr">
        <is>
          <t>EMD-39489</t>
        </is>
      </c>
      <c r="B1943" t="inlineStr">
        <is>
          <t>non-amyloid</t>
        </is>
      </c>
      <c r="C1943" t="n">
        <v>3.2</v>
      </c>
      <c r="D1943" t="n">
        <v>6.764</v>
      </c>
      <c r="E1943" t="n">
        <v>66.578</v>
      </c>
      <c r="F1943" t="inlineStr">
        <is>
          <t>C1</t>
        </is>
      </c>
      <c r="G1943" t="inlineStr">
        <is>
          <t>6.766236961237778</t>
        </is>
      </c>
      <c r="H1943" t="n">
        <v>66.58565889752276</v>
      </c>
      <c r="I1943" t="inlineStr">
        <is>
          <t>C1</t>
        </is>
      </c>
      <c r="J1943" t="n">
        <v>0.003295841</v>
      </c>
      <c r="K1943" t="inlineStr"/>
      <c r="L1943" t="n">
        <v>0.8632223961738715</v>
      </c>
      <c r="M1943" t="n">
        <v>0.8685890670968471</v>
      </c>
      <c r="N1943" t="inlineStr">
        <is>
          <t>Yes</t>
        </is>
      </c>
      <c r="O1943" t="inlineStr">
        <is>
          <t>equal</t>
        </is>
      </c>
      <c r="P1943" t="inlineStr">
        <is>
          <t>deposited</t>
        </is>
      </c>
      <c r="Q1943" t="inlineStr"/>
      <c r="R1943" t="inlineStr"/>
      <c r="S1943">
        <f>HYPERLINK("https://helical-indexing-hi3d.streamlit.app/?emd_id=emd-39489&amp;rise=6.766236961237778&amp;twist=66.58565889752276&amp;csym=1&amp;rise2=6.764&amp;twist2=66.578&amp;csym2=1", "Link")</f>
        <v/>
      </c>
    </row>
    <row r="1944">
      <c r="A1944" t="inlineStr">
        <is>
          <t>EMD-52431</t>
        </is>
      </c>
      <c r="B1944" t="inlineStr">
        <is>
          <t>non-amyloid</t>
        </is>
      </c>
      <c r="C1944" t="n">
        <v>2.24</v>
      </c>
      <c r="D1944" t="n">
        <v>12.14</v>
      </c>
      <c r="E1944" t="n">
        <v>28.93</v>
      </c>
      <c r="F1944" t="inlineStr">
        <is>
          <t>C5</t>
        </is>
      </c>
      <c r="G1944" t="inlineStr">
        <is>
          <t>12.104022721363318</t>
        </is>
      </c>
      <c r="H1944" t="n">
        <v>28.9468953393235</v>
      </c>
      <c r="I1944" t="inlineStr">
        <is>
          <t>C5</t>
        </is>
      </c>
      <c r="J1944" t="n">
        <v>0.036288174</v>
      </c>
      <c r="K1944" t="inlineStr"/>
      <c r="L1944" t="n">
        <v>0.9265057680120826</v>
      </c>
      <c r="M1944" t="n">
        <v>0.9500367490667716</v>
      </c>
      <c r="N1944" t="inlineStr">
        <is>
          <t>Yes</t>
        </is>
      </c>
      <c r="O1944" t="inlineStr">
        <is>
          <t>equal</t>
        </is>
      </c>
      <c r="P1944" t="inlineStr">
        <is>
          <t>deposited</t>
        </is>
      </c>
      <c r="Q1944" t="inlineStr"/>
      <c r="R1944" t="inlineStr"/>
      <c r="S1944">
        <f>HYPERLINK("https://helical-indexing-hi3d.streamlit.app/?emd_id=emd-52431&amp;rise=12.104022721363318&amp;twist=28.946895339323504&amp;csym=5&amp;rise2=12.14&amp;twist2=28.93&amp;csym2=5", "Link")</f>
        <v/>
      </c>
    </row>
    <row r="1945">
      <c r="A1945" t="inlineStr">
        <is>
          <t>EMD-61302</t>
        </is>
      </c>
      <c r="B1945" t="inlineStr">
        <is>
          <t>amyloid</t>
        </is>
      </c>
      <c r="C1945" t="n">
        <v>3</v>
      </c>
      <c r="D1945" t="n">
        <v>2.38</v>
      </c>
      <c r="E1945" t="n">
        <v>178.83</v>
      </c>
      <c r="F1945" t="inlineStr">
        <is>
          <t>C1</t>
        </is>
      </c>
      <c r="G1945" t="inlineStr">
        <is>
          <t>2.371139392093098</t>
        </is>
      </c>
      <c r="H1945" t="n">
        <v>178.7829199835218</v>
      </c>
      <c r="I1945" t="inlineStr">
        <is>
          <t>C1</t>
        </is>
      </c>
      <c r="J1945" t="n">
        <v>0.0140891198271798</v>
      </c>
      <c r="K1945" t="inlineStr"/>
      <c r="L1945" t="n">
        <v>0.7655174775636806</v>
      </c>
      <c r="M1945" t="n">
        <v>0.7631287306065971</v>
      </c>
      <c r="N1945" t="inlineStr">
        <is>
          <t>Yes</t>
        </is>
      </c>
      <c r="O1945" t="inlineStr">
        <is>
          <t>equal</t>
        </is>
      </c>
      <c r="P1945" t="inlineStr">
        <is>
          <t>deposited</t>
        </is>
      </c>
      <c r="Q1945" t="inlineStr"/>
      <c r="R1945" t="inlineStr"/>
      <c r="S1945">
        <f>HYPERLINK("https://helical-indexing-hi3d.streamlit.app/?emd_id=emd-61302&amp;rise=2.371139392093098&amp;twist=178.78291998352177&amp;csym=1&amp;rise2=2.38&amp;twist2=178.83&amp;csym2=1", "Link")</f>
        <v/>
      </c>
    </row>
    <row r="1946">
      <c r="A1946" t="inlineStr">
        <is>
          <t>EMD-61304</t>
        </is>
      </c>
      <c r="B1946" t="inlineStr">
        <is>
          <t>amyloid</t>
        </is>
      </c>
      <c r="C1946" t="n">
        <v>2.5</v>
      </c>
      <c r="D1946" t="n">
        <v>2.38</v>
      </c>
      <c r="E1946" t="n">
        <v>178.86</v>
      </c>
      <c r="F1946" t="inlineStr">
        <is>
          <t>C1</t>
        </is>
      </c>
      <c r="G1946" t="inlineStr">
        <is>
          <t>2.316128959944973</t>
        </is>
      </c>
      <c r="H1946" t="n">
        <v>178.7780870243956</v>
      </c>
      <c r="I1946" t="inlineStr">
        <is>
          <t>C1</t>
        </is>
      </c>
      <c r="J1946" t="n">
        <v>0.066903845</v>
      </c>
      <c r="K1946" t="inlineStr"/>
      <c r="L1946" t="n">
        <v>0.7325752122589878</v>
      </c>
      <c r="M1946" t="n">
        <v>0.6955594831259065</v>
      </c>
      <c r="N1946" t="inlineStr">
        <is>
          <t>Yes</t>
        </is>
      </c>
      <c r="O1946" t="inlineStr">
        <is>
          <t>equal</t>
        </is>
      </c>
      <c r="P1946" t="inlineStr">
        <is>
          <t>deposited</t>
        </is>
      </c>
      <c r="Q1946" t="inlineStr"/>
      <c r="R1946" t="inlineStr"/>
      <c r="S1946">
        <f>HYPERLINK("https://helical-indexing-hi3d.streamlit.app/?emd_id=emd-61304&amp;rise=2.316128959944973&amp;twist=178.77808702439563&amp;csym=1&amp;rise2=2.38&amp;twist2=178.86&amp;csym2=1", "Link")</f>
        <v/>
      </c>
    </row>
    <row r="1947">
      <c r="A1947" t="inlineStr">
        <is>
          <t>EMD-44190</t>
        </is>
      </c>
      <c r="B1947" t="inlineStr">
        <is>
          <t>amyloid</t>
        </is>
      </c>
      <c r="C1947" t="n">
        <v>3.3</v>
      </c>
      <c r="D1947" t="n">
        <v>4.999</v>
      </c>
      <c r="E1947" t="n">
        <v>-0.875</v>
      </c>
      <c r="F1947" t="inlineStr">
        <is>
          <t>C4</t>
        </is>
      </c>
      <c r="G1947" t="inlineStr">
        <is>
          <t>5.002412347222203</t>
        </is>
      </c>
      <c r="H1947" t="n">
        <v>-0.885164741</v>
      </c>
      <c r="I1947" t="inlineStr">
        <is>
          <t>C4</t>
        </is>
      </c>
      <c r="J1947" t="n">
        <v>0.00738091</v>
      </c>
      <c r="K1947" t="inlineStr"/>
      <c r="L1947" t="n">
        <v>0.9342503714681836</v>
      </c>
      <c r="M1947" t="n">
        <v>0.9334586138785766</v>
      </c>
      <c r="N1947" t="inlineStr">
        <is>
          <t>Yes</t>
        </is>
      </c>
      <c r="O1947" t="inlineStr">
        <is>
          <t>equal</t>
        </is>
      </c>
      <c r="P1947" t="inlineStr">
        <is>
          <t>deposited</t>
        </is>
      </c>
      <c r="Q1947" t="inlineStr"/>
      <c r="R1947" t="inlineStr"/>
      <c r="S1947">
        <f>HYPERLINK("https://helical-indexing-hi3d.streamlit.app/?emd_id=emd-44190&amp;rise=5.002412347222203&amp;twist=-0.885164741&amp;csym=4&amp;rise2=4.999&amp;twist2=-0.875&amp;csym2=4", "Link")</f>
        <v/>
      </c>
    </row>
    <row r="1948">
      <c r="A1948" t="inlineStr">
        <is>
          <t>EMD-44195</t>
        </is>
      </c>
      <c r="B1948" t="inlineStr">
        <is>
          <t>amyloid</t>
        </is>
      </c>
      <c r="C1948" t="n">
        <v>3.3</v>
      </c>
      <c r="D1948" t="n">
        <v>5.022</v>
      </c>
      <c r="E1948" t="n">
        <v>-0.875</v>
      </c>
      <c r="F1948" t="inlineStr">
        <is>
          <t>C4</t>
        </is>
      </c>
      <c r="G1948" t="inlineStr">
        <is>
          <t>5.021948444759363</t>
        </is>
      </c>
      <c r="H1948" t="n">
        <v>-0.889335291</v>
      </c>
      <c r="I1948" t="inlineStr">
        <is>
          <t>C4</t>
        </is>
      </c>
      <c r="J1948" t="n">
        <v>0.009889162999999999</v>
      </c>
      <c r="K1948" t="inlineStr"/>
      <c r="L1948" t="n">
        <v>0.9384550030661724</v>
      </c>
      <c r="M1948" t="n">
        <v>0.9390658404260008</v>
      </c>
      <c r="N1948" t="inlineStr">
        <is>
          <t>Yes</t>
        </is>
      </c>
      <c r="O1948" t="inlineStr">
        <is>
          <t>equal</t>
        </is>
      </c>
      <c r="P1948" t="inlineStr">
        <is>
          <t>deposited</t>
        </is>
      </c>
      <c r="Q1948" t="inlineStr"/>
      <c r="R1948" t="inlineStr"/>
      <c r="S1948">
        <f>HYPERLINK("https://helical-indexing-hi3d.streamlit.app/?emd_id=emd-44195&amp;rise=5.021948444759363&amp;twist=-0.889335291&amp;csym=4&amp;rise2=5.022&amp;twist2=-0.875&amp;csym2=4", "Link")</f>
        <v/>
      </c>
    </row>
    <row r="1949">
      <c r="A1949" t="inlineStr">
        <is>
          <t>EMD-44198</t>
        </is>
      </c>
      <c r="B1949" t="inlineStr">
        <is>
          <t>amyloid</t>
        </is>
      </c>
      <c r="C1949" t="n">
        <v>3.3</v>
      </c>
      <c r="D1949" t="n">
        <v>4.752</v>
      </c>
      <c r="E1949" t="n">
        <v>-2.484</v>
      </c>
      <c r="F1949" t="inlineStr">
        <is>
          <t>C8</t>
        </is>
      </c>
      <c r="G1949" t="inlineStr">
        <is>
          <t>4.717638309419552</t>
        </is>
      </c>
      <c r="H1949" t="n">
        <v>-2.468910264</v>
      </c>
      <c r="I1949" t="inlineStr">
        <is>
          <t>C8</t>
        </is>
      </c>
      <c r="J1949" t="n">
        <v>0.035003464</v>
      </c>
      <c r="K1949" t="inlineStr"/>
      <c r="L1949" t="n">
        <v>0.9414593054919816</v>
      </c>
      <c r="M1949" t="n">
        <v>0.9267341608144872</v>
      </c>
      <c r="N1949" t="inlineStr">
        <is>
          <t>Yes</t>
        </is>
      </c>
      <c r="O1949" t="inlineStr">
        <is>
          <t>equal</t>
        </is>
      </c>
      <c r="P1949" t="inlineStr">
        <is>
          <t>deposited</t>
        </is>
      </c>
      <c r="Q1949" t="inlineStr"/>
      <c r="R1949" t="inlineStr"/>
      <c r="S1949">
        <f>HYPERLINK("https://helical-indexing-hi3d.streamlit.app/?emd_id=emd-44198&amp;rise=4.717638309419552&amp;twist=-2.468910264&amp;csym=8&amp;rise2=4.752&amp;twist2=-2.484&amp;csym2=8", "Link")</f>
        <v/>
      </c>
    </row>
    <row r="1950">
      <c r="A1950" t="inlineStr">
        <is>
          <t>EMD-44133</t>
        </is>
      </c>
      <c r="B1950" t="inlineStr">
        <is>
          <t>amyloid</t>
        </is>
      </c>
      <c r="C1950" t="n">
        <v>3.2</v>
      </c>
      <c r="D1950" t="n">
        <v>4.79</v>
      </c>
      <c r="E1950" t="n">
        <v>-2.85</v>
      </c>
      <c r="F1950" t="inlineStr">
        <is>
          <t>C1</t>
        </is>
      </c>
      <c r="G1950" t="inlineStr">
        <is>
          <t>4.786666624644845</t>
        </is>
      </c>
      <c r="H1950" t="n">
        <v>-2.869466295</v>
      </c>
      <c r="I1950" t="inlineStr">
        <is>
          <t>C1</t>
        </is>
      </c>
      <c r="J1950" t="n">
        <v>0.007792367</v>
      </c>
      <c r="K1950" t="inlineStr"/>
      <c r="L1950" t="n">
        <v>0.8490899438877938</v>
      </c>
      <c r="M1950" t="n">
        <v>0.8449413883243371</v>
      </c>
      <c r="N1950" t="inlineStr">
        <is>
          <t>Yes</t>
        </is>
      </c>
      <c r="O1950" t="inlineStr">
        <is>
          <t>equal</t>
        </is>
      </c>
      <c r="P1950" t="inlineStr">
        <is>
          <t>deposited</t>
        </is>
      </c>
      <c r="Q1950" t="inlineStr"/>
      <c r="R1950" t="inlineStr"/>
      <c r="S1950">
        <f>HYPERLINK("https://helical-indexing-hi3d.streamlit.app/?emd_id=emd-44133&amp;rise=4.786666624644845&amp;twist=-2.869466295&amp;csym=1&amp;rise2=4.79&amp;twist2=-2.85&amp;csym2=1", "Link")</f>
        <v/>
      </c>
    </row>
    <row r="1951">
      <c r="A1951" t="inlineStr">
        <is>
          <t>EMD-48119</t>
        </is>
      </c>
      <c r="B1951" t="inlineStr">
        <is>
          <t>non-amyloid</t>
        </is>
      </c>
      <c r="C1951" t="n">
        <v>3.8</v>
      </c>
      <c r="D1951" t="n">
        <v>2.04</v>
      </c>
      <c r="E1951" t="n">
        <v>109.67</v>
      </c>
      <c r="F1951" t="inlineStr">
        <is>
          <t>C1</t>
        </is>
      </c>
      <c r="G1951" t="inlineStr">
        <is>
          <t>2.044215528797922</t>
        </is>
      </c>
      <c r="H1951" t="n">
        <v>109.6644711279291</v>
      </c>
      <c r="I1951" t="inlineStr">
        <is>
          <t>C1</t>
        </is>
      </c>
      <c r="J1951" t="n">
        <v>0.004595061</v>
      </c>
      <c r="K1951" t="inlineStr"/>
      <c r="L1951" t="n">
        <v>0.9588942251134512</v>
      </c>
      <c r="M1951" t="n">
        <v>0.9596985458024998</v>
      </c>
      <c r="N1951" t="inlineStr">
        <is>
          <t>Yes</t>
        </is>
      </c>
      <c r="O1951" t="inlineStr">
        <is>
          <t>equal</t>
        </is>
      </c>
      <c r="P1951" t="inlineStr">
        <is>
          <t>deposited</t>
        </is>
      </c>
      <c r="Q1951" t="inlineStr"/>
      <c r="R1951" t="inlineStr"/>
      <c r="S1951">
        <f>HYPERLINK("https://helical-indexing-hi3d.streamlit.app/?emd_id=emd-48119&amp;rise=2.044215528797922&amp;twist=109.66447112792912&amp;csym=1&amp;rise2=2.04&amp;twist2=109.67&amp;csym2=1", "Link")</f>
        <v/>
      </c>
    </row>
    <row r="1952">
      <c r="A1952" t="inlineStr">
        <is>
          <t>EMD-44183</t>
        </is>
      </c>
      <c r="B1952" t="inlineStr">
        <is>
          <t>non-amyloid</t>
        </is>
      </c>
      <c r="C1952" t="n">
        <v>3.7</v>
      </c>
      <c r="D1952" t="n">
        <v>9.56</v>
      </c>
      <c r="E1952" t="n">
        <v>2.55</v>
      </c>
      <c r="F1952" t="inlineStr">
        <is>
          <t>C1</t>
        </is>
      </c>
      <c r="G1952" t="inlineStr">
        <is>
          <t>9.554338954195828</t>
        </is>
      </c>
      <c r="H1952" t="n">
        <v>2.553681853104962</v>
      </c>
      <c r="I1952" t="inlineStr">
        <is>
          <t>C1</t>
        </is>
      </c>
      <c r="J1952" t="n">
        <v>0.005748374</v>
      </c>
      <c r="K1952" t="inlineStr"/>
      <c r="L1952" t="n">
        <v>0.953005516078428</v>
      </c>
      <c r="M1952" t="n">
        <v>0.9509357777977538</v>
      </c>
      <c r="N1952" t="inlineStr">
        <is>
          <t>Yes</t>
        </is>
      </c>
      <c r="O1952" t="inlineStr">
        <is>
          <t>equal</t>
        </is>
      </c>
      <c r="P1952" t="inlineStr">
        <is>
          <t>deposited</t>
        </is>
      </c>
      <c r="Q1952" t="inlineStr"/>
      <c r="R1952" t="inlineStr"/>
      <c r="S1952">
        <f>HYPERLINK("https://helical-indexing-hi3d.streamlit.app/?emd_id=emd-44183&amp;rise=9.554338954195828&amp;twist=2.553681853104962&amp;csym=1&amp;rise2=9.56&amp;twist2=2.55&amp;csym2=1", "Link")</f>
        <v/>
      </c>
    </row>
    <row r="1953">
      <c r="A1953" t="inlineStr">
        <is>
          <t>EMD-44182</t>
        </is>
      </c>
      <c r="B1953" t="inlineStr">
        <is>
          <t>non-amyloid</t>
        </is>
      </c>
      <c r="C1953" t="n">
        <v>3.5</v>
      </c>
      <c r="D1953" t="n">
        <v>9.558</v>
      </c>
      <c r="E1953" t="n">
        <v>3.509</v>
      </c>
      <c r="F1953" t="inlineStr">
        <is>
          <t>C1</t>
        </is>
      </c>
      <c r="G1953" t="inlineStr">
        <is>
          <t>9.557630451317161</t>
        </is>
      </c>
      <c r="H1953" t="n">
        <v>3.500240322403386</v>
      </c>
      <c r="I1953" t="inlineStr">
        <is>
          <t>C1</t>
        </is>
      </c>
      <c r="J1953" t="n">
        <v>0.002456085</v>
      </c>
      <c r="K1953" t="inlineStr"/>
      <c r="L1953" t="n">
        <v>0.9520813251552668</v>
      </c>
      <c r="M1953" t="n">
        <v>0.9519336702364212</v>
      </c>
      <c r="N1953" t="inlineStr">
        <is>
          <t>Yes</t>
        </is>
      </c>
      <c r="O1953" t="inlineStr">
        <is>
          <t>equal</t>
        </is>
      </c>
      <c r="P1953" t="inlineStr">
        <is>
          <t>deposited</t>
        </is>
      </c>
      <c r="Q1953" t="inlineStr"/>
      <c r="R1953" t="inlineStr"/>
      <c r="S1953">
        <f>HYPERLINK("https://helical-indexing-hi3d.streamlit.app/?emd_id=emd-44182&amp;rise=9.557630451317161&amp;twist=3.5002403224033856&amp;csym=1&amp;rise2=9.558&amp;twist2=3.509&amp;csym2=1", "Link")</f>
        <v/>
      </c>
    </row>
    <row r="1954">
      <c r="A1954" t="inlineStr">
        <is>
          <t>EMD-44187</t>
        </is>
      </c>
      <c r="B1954" t="inlineStr">
        <is>
          <t>amyloid</t>
        </is>
      </c>
      <c r="C1954" t="n">
        <v>3.5</v>
      </c>
      <c r="D1954" t="n">
        <v>2.48</v>
      </c>
      <c r="E1954" t="n">
        <v>179.45</v>
      </c>
      <c r="F1954" t="inlineStr">
        <is>
          <t>C1</t>
        </is>
      </c>
      <c r="G1954" t="inlineStr">
        <is>
          <t>2.472970750438724</t>
        </is>
      </c>
      <c r="H1954" t="n">
        <v>179.4535438904122</v>
      </c>
      <c r="I1954" t="inlineStr">
        <is>
          <t>C1</t>
        </is>
      </c>
      <c r="J1954" t="n">
        <v>0.007111652</v>
      </c>
      <c r="K1954" t="inlineStr"/>
      <c r="L1954" t="n">
        <v>0.9640355777553026</v>
      </c>
      <c r="M1954" t="n">
        <v>0.93932174327541</v>
      </c>
      <c r="N1954" t="inlineStr">
        <is>
          <t>Yes</t>
        </is>
      </c>
      <c r="O1954" t="inlineStr">
        <is>
          <t>equal</t>
        </is>
      </c>
      <c r="P1954" t="inlineStr">
        <is>
          <t>deposited</t>
        </is>
      </c>
      <c r="Q1954" t="inlineStr"/>
      <c r="R1954" t="inlineStr"/>
      <c r="S1954">
        <f>HYPERLINK("https://helical-indexing-hi3d.streamlit.app/?emd_id=emd-44187&amp;rise=2.472970750438724&amp;twist=179.45354389041222&amp;csym=1&amp;rise2=2.48&amp;twist2=179.45&amp;csym2=1", "Link")</f>
        <v/>
      </c>
    </row>
    <row r="1955">
      <c r="A1955" t="inlineStr">
        <is>
          <t>EMD-45074</t>
        </is>
      </c>
      <c r="B1955" t="inlineStr">
        <is>
          <t>amyloid</t>
        </is>
      </c>
      <c r="C1955" t="n">
        <v>3.14</v>
      </c>
      <c r="D1955" t="n">
        <v>4.9</v>
      </c>
      <c r="E1955" t="n">
        <v>-1.23</v>
      </c>
      <c r="F1955" t="inlineStr">
        <is>
          <t>C1</t>
        </is>
      </c>
      <c r="G1955" t="inlineStr">
        <is>
          <t>4.892397553816363</t>
        </is>
      </c>
      <c r="H1955" t="n">
        <v>-1.26802793</v>
      </c>
      <c r="I1955" t="inlineStr">
        <is>
          <t>C1</t>
        </is>
      </c>
      <c r="J1955" t="n">
        <v>0.0151181370084792</v>
      </c>
      <c r="K1955" t="inlineStr"/>
      <c r="L1955" t="n">
        <v>0.8138979448211036</v>
      </c>
      <c r="M1955" t="n">
        <v>0.8099580556837706</v>
      </c>
      <c r="N1955" t="inlineStr">
        <is>
          <t>Yes</t>
        </is>
      </c>
      <c r="O1955" t="inlineStr">
        <is>
          <t>equal</t>
        </is>
      </c>
      <c r="P1955" t="inlineStr">
        <is>
          <t>deposited</t>
        </is>
      </c>
      <c r="Q1955" t="inlineStr"/>
      <c r="R1955" t="inlineStr"/>
      <c r="S1955">
        <f>HYPERLINK("https://helical-indexing-hi3d.streamlit.app/?emd_id=emd-45074&amp;rise=4.892397553816363&amp;twist=-1.26802793&amp;csym=1&amp;rise2=4.9&amp;twist2=-1.23&amp;csym2=1", "Link")</f>
        <v/>
      </c>
    </row>
    <row r="1956">
      <c r="A1956" t="inlineStr">
        <is>
          <t>EMD-52564</t>
        </is>
      </c>
      <c r="B1956" t="inlineStr">
        <is>
          <t>non-amyloid</t>
        </is>
      </c>
      <c r="C1956" t="n">
        <v>2.74</v>
      </c>
      <c r="D1956" t="n">
        <v>3.16</v>
      </c>
      <c r="E1956" t="n">
        <v>-31.03</v>
      </c>
      <c r="F1956" t="inlineStr">
        <is>
          <t>C1</t>
        </is>
      </c>
      <c r="G1956" t="inlineStr">
        <is>
          <t>3.1578761582017085</t>
        </is>
      </c>
      <c r="H1956" t="n">
        <v>-31.02949533</v>
      </c>
      <c r="I1956" t="inlineStr">
        <is>
          <t>C1</t>
        </is>
      </c>
      <c r="J1956" t="n">
        <v>0.002147303</v>
      </c>
      <c r="K1956" t="inlineStr"/>
      <c r="L1956" t="n">
        <v>0.9695252143395986</v>
      </c>
      <c r="M1956" t="n">
        <v>0.9693709227559856</v>
      </c>
      <c r="N1956" t="inlineStr">
        <is>
          <t>Yes</t>
        </is>
      </c>
      <c r="O1956" t="inlineStr">
        <is>
          <t>equal</t>
        </is>
      </c>
      <c r="P1956" t="inlineStr">
        <is>
          <t>deposited</t>
        </is>
      </c>
      <c r="Q1956" t="inlineStr"/>
      <c r="R1956" t="inlineStr"/>
      <c r="S1956">
        <f>HYPERLINK("https://helical-indexing-hi3d.streamlit.app/?emd_id=emd-52564&amp;rise=3.1578761582017085&amp;twist=-31.02949533&amp;csym=1&amp;rise2=3.16&amp;twist2=-31.03&amp;csym2=1", "Link")</f>
        <v/>
      </c>
    </row>
    <row r="1957">
      <c r="A1957" t="inlineStr">
        <is>
          <t>EMD-48555</t>
        </is>
      </c>
      <c r="B1957" t="inlineStr">
        <is>
          <t>amyloid</t>
        </is>
      </c>
      <c r="C1957" t="n">
        <v>2.9</v>
      </c>
      <c r="D1957" t="n">
        <v>4.768</v>
      </c>
      <c r="E1957" t="n">
        <v>-0.93</v>
      </c>
      <c r="F1957" t="inlineStr">
        <is>
          <t>C1</t>
        </is>
      </c>
      <c r="G1957" t="inlineStr">
        <is>
          <t>4.772270780111959</t>
        </is>
      </c>
      <c r="H1957" t="n">
        <v>-0.934504441</v>
      </c>
      <c r="I1957" t="inlineStr">
        <is>
          <t>C1</t>
        </is>
      </c>
      <c r="J1957" t="n">
        <v>0.004604389</v>
      </c>
      <c r="K1957" t="inlineStr"/>
      <c r="L1957" t="n">
        <v>0.8392866153173828</v>
      </c>
      <c r="M1957" t="n">
        <v>0.8310425186142657</v>
      </c>
      <c r="N1957" t="inlineStr">
        <is>
          <t>Yes</t>
        </is>
      </c>
      <c r="O1957" t="inlineStr">
        <is>
          <t>equal</t>
        </is>
      </c>
      <c r="P1957" t="inlineStr">
        <is>
          <t>deposited</t>
        </is>
      </c>
      <c r="Q1957" t="inlineStr"/>
      <c r="R1957" t="inlineStr"/>
      <c r="S1957">
        <f>HYPERLINK("https://helical-indexing-hi3d.streamlit.app/?emd_id=emd-48555&amp;rise=4.772270780111959&amp;twist=-0.934504441&amp;csym=1&amp;rise2=4.768&amp;twist2=-0.93&amp;csym2=1", "Link")</f>
        <v/>
      </c>
    </row>
    <row r="1958">
      <c r="A1958" t="inlineStr">
        <is>
          <t>EMD-45039</t>
        </is>
      </c>
      <c r="B1958" t="inlineStr">
        <is>
          <t>amyloid</t>
        </is>
      </c>
      <c r="C1958" t="n">
        <v>3.36</v>
      </c>
      <c r="D1958" t="n">
        <v>4.93</v>
      </c>
      <c r="E1958" t="n">
        <v>-1.31</v>
      </c>
      <c r="F1958" t="inlineStr">
        <is>
          <t>C1</t>
        </is>
      </c>
      <c r="G1958" t="inlineStr">
        <is>
          <t>4.909641515913888</t>
        </is>
      </c>
      <c r="H1958" t="n">
        <v>-1.331255095</v>
      </c>
      <c r="I1958" t="inlineStr">
        <is>
          <t>C1</t>
        </is>
      </c>
      <c r="J1958" t="n">
        <v>0.021104582</v>
      </c>
      <c r="K1958" t="inlineStr"/>
      <c r="L1958" t="n">
        <v>0.8125354896687551</v>
      </c>
      <c r="M1958" t="n">
        <v>0.8135299955402835</v>
      </c>
      <c r="N1958" t="inlineStr">
        <is>
          <t>Yes</t>
        </is>
      </c>
      <c r="O1958" t="inlineStr">
        <is>
          <t>equal</t>
        </is>
      </c>
      <c r="P1958" t="inlineStr">
        <is>
          <t>deposited</t>
        </is>
      </c>
      <c r="Q1958" t="inlineStr"/>
      <c r="R1958" t="inlineStr"/>
      <c r="S1958">
        <f>HYPERLINK("https://helical-indexing-hi3d.streamlit.app/?emd_id=emd-45039&amp;rise=4.909641515913888&amp;twist=-1.331255095&amp;csym=1&amp;rise2=4.93&amp;twist2=-1.31&amp;csym2=1", "Link")</f>
        <v/>
      </c>
    </row>
    <row r="1959">
      <c r="A1959" t="inlineStr">
        <is>
          <t>EMD-46915</t>
        </is>
      </c>
      <c r="B1959" t="inlineStr">
        <is>
          <t>amyloid</t>
        </is>
      </c>
      <c r="C1959" t="n">
        <v>3.32</v>
      </c>
      <c r="D1959" t="n">
        <v>2.372</v>
      </c>
      <c r="E1959" t="n">
        <v>179.479</v>
      </c>
      <c r="F1959" t="inlineStr">
        <is>
          <t>C1</t>
        </is>
      </c>
      <c r="G1959" t="inlineStr">
        <is>
          <t>2.379584860497282</t>
        </is>
      </c>
      <c r="H1959" t="n">
        <v>179.5784118036384</v>
      </c>
      <c r="I1959" t="inlineStr">
        <is>
          <t>C1</t>
        </is>
      </c>
      <c r="J1959" t="n">
        <v>0.075609564</v>
      </c>
      <c r="K1959" t="inlineStr"/>
      <c r="L1959" t="n">
        <v>0.7874945875485074</v>
      </c>
      <c r="M1959" t="n">
        <v>0.949079716</v>
      </c>
      <c r="N1959" t="inlineStr">
        <is>
          <t>Yes</t>
        </is>
      </c>
      <c r="O1959" t="inlineStr">
        <is>
          <t>improve</t>
        </is>
      </c>
      <c r="P1959" t="inlineStr">
        <is>
          <t>adjusted decimals</t>
        </is>
      </c>
      <c r="Q1959" t="inlineStr"/>
      <c r="R1959" t="inlineStr"/>
      <c r="S1959">
        <f>HYPERLINK("https://helical-indexing-hi3d.streamlit.app/?emd_id=emd-46915&amp;rise=2.379584860497282&amp;twist=179.5784118036384&amp;csym=1&amp;rise2=2.372&amp;twist2=179.479&amp;csym2=1", "Link")</f>
        <v/>
      </c>
    </row>
    <row r="1960">
      <c r="A1960" t="inlineStr">
        <is>
          <t>EMD-46908</t>
        </is>
      </c>
      <c r="B1960" t="inlineStr">
        <is>
          <t>amyloid</t>
        </is>
      </c>
      <c r="C1960" t="n">
        <v>2.74</v>
      </c>
      <c r="D1960" t="n">
        <v>2.375</v>
      </c>
      <c r="E1960" t="n">
        <v>179.472</v>
      </c>
      <c r="F1960" t="inlineStr">
        <is>
          <t>C1</t>
        </is>
      </c>
      <c r="G1960" t="inlineStr">
        <is>
          <t>2.375183190292838</t>
        </is>
      </c>
      <c r="H1960" t="n">
        <v>179.4630167438534</v>
      </c>
      <c r="I1960" t="inlineStr">
        <is>
          <t>C1</t>
        </is>
      </c>
      <c r="J1960" t="n">
        <v>0.003991315</v>
      </c>
      <c r="K1960" t="inlineStr"/>
      <c r="L1960" t="n">
        <v>0.9660707797813378</v>
      </c>
      <c r="M1960" t="n">
        <v>0.9624758293952572</v>
      </c>
      <c r="N1960" t="inlineStr">
        <is>
          <t>Yes</t>
        </is>
      </c>
      <c r="O1960" t="inlineStr">
        <is>
          <t>equal</t>
        </is>
      </c>
      <c r="P1960" t="inlineStr">
        <is>
          <t>deposited</t>
        </is>
      </c>
      <c r="Q1960" t="inlineStr"/>
      <c r="R1960" t="inlineStr"/>
      <c r="S1960">
        <f>HYPERLINK("https://helical-indexing-hi3d.streamlit.app/?emd_id=emd-46908&amp;rise=2.375183190292838&amp;twist=179.46301674385336&amp;csym=1&amp;rise2=2.375&amp;twist2=179.472&amp;csym2=1", "Link")</f>
        <v/>
      </c>
    </row>
    <row r="1961">
      <c r="A1961" t="inlineStr">
        <is>
          <t>EMD-51000</t>
        </is>
      </c>
      <c r="B1961" t="inlineStr">
        <is>
          <t>non-amyloid</t>
        </is>
      </c>
      <c r="C1961" t="n">
        <v>2.85</v>
      </c>
      <c r="D1961" t="n">
        <v>22.1</v>
      </c>
      <c r="E1961" t="n">
        <v>57.3</v>
      </c>
      <c r="F1961" t="inlineStr">
        <is>
          <t>C1</t>
        </is>
      </c>
      <c r="G1961" t="inlineStr">
        <is>
          <t>22.106357987815834</t>
        </is>
      </c>
      <c r="H1961" t="n">
        <v>57.28088113896382</v>
      </c>
      <c r="I1961" t="inlineStr">
        <is>
          <t>C1</t>
        </is>
      </c>
      <c r="J1961" t="n">
        <v>0.0126371478056837</v>
      </c>
      <c r="K1961" t="inlineStr"/>
      <c r="L1961" t="n">
        <v>0.970559386</v>
      </c>
      <c r="M1961" t="n">
        <v>0.890297298</v>
      </c>
      <c r="N1961" t="inlineStr">
        <is>
          <t>Yes</t>
        </is>
      </c>
      <c r="O1961" t="inlineStr">
        <is>
          <t>equal</t>
        </is>
      </c>
      <c r="P1961" t="inlineStr">
        <is>
          <t>deposited</t>
        </is>
      </c>
      <c r="Q1961" t="inlineStr"/>
      <c r="R1961" t="inlineStr"/>
      <c r="S1961">
        <f>HYPERLINK("https://helical-indexing-hi3d.streamlit.app/?emd_id=emd-51000&amp;rise=22.106357987815834&amp;twist=57.28088113896382&amp;csym=1&amp;rise2=22.1&amp;twist2=57.3&amp;csym2=1", "Link")</f>
        <v/>
      </c>
    </row>
    <row r="1962">
      <c r="A1962" t="inlineStr">
        <is>
          <t>EMD-52781</t>
        </is>
      </c>
      <c r="B1962" t="inlineStr">
        <is>
          <t>amyloid</t>
        </is>
      </c>
      <c r="C1962" t="n">
        <v>3.17</v>
      </c>
      <c r="D1962" t="n">
        <v>4.80359</v>
      </c>
      <c r="E1962" t="n">
        <v>-2.73567</v>
      </c>
      <c r="F1962" t="inlineStr">
        <is>
          <t>C1</t>
        </is>
      </c>
      <c r="G1962" t="inlineStr">
        <is>
          <t>4.786664915661186</t>
        </is>
      </c>
      <c r="H1962" t="n">
        <v>-2.774347459</v>
      </c>
      <c r="I1962" t="inlineStr">
        <is>
          <t>C1</t>
        </is>
      </c>
      <c r="J1962" t="n">
        <v>0.0195546803582941</v>
      </c>
      <c r="K1962" t="inlineStr"/>
      <c r="L1962" t="n">
        <v>0.8982340655095185</v>
      </c>
      <c r="M1962" t="n">
        <v>0.8789081096121794</v>
      </c>
      <c r="N1962" t="inlineStr">
        <is>
          <t>Yes</t>
        </is>
      </c>
      <c r="O1962" t="inlineStr">
        <is>
          <t>equal</t>
        </is>
      </c>
      <c r="P1962" t="inlineStr">
        <is>
          <t>deposited</t>
        </is>
      </c>
      <c r="Q1962" t="inlineStr"/>
      <c r="R1962" t="inlineStr"/>
      <c r="S1962">
        <f>HYPERLINK("https://helical-indexing-hi3d.streamlit.app/?emd_id=emd-52781&amp;rise=4.786664915661186&amp;twist=-2.774347459&amp;csym=1&amp;rise2=4.80359&amp;twist2=-2.73567&amp;csym2=1", "Link")</f>
        <v/>
      </c>
    </row>
    <row r="1963">
      <c r="A1963" t="inlineStr">
        <is>
          <t>EMD-50999</t>
        </is>
      </c>
      <c r="B1963" t="inlineStr">
        <is>
          <t>non-amyloid</t>
        </is>
      </c>
      <c r="C1963" t="n">
        <v>2.44</v>
      </c>
      <c r="D1963" t="n">
        <v>19.8</v>
      </c>
      <c r="E1963" t="n">
        <v>57.7</v>
      </c>
      <c r="F1963" t="inlineStr">
        <is>
          <t>C1</t>
        </is>
      </c>
      <c r="G1963" t="inlineStr">
        <is>
          <t>19.837486163611302</t>
        </is>
      </c>
      <c r="H1963" t="n">
        <v>57.74744473784864</v>
      </c>
      <c r="I1963" t="inlineStr">
        <is>
          <t>C1</t>
        </is>
      </c>
      <c r="J1963" t="n">
        <v>0.045195584</v>
      </c>
      <c r="K1963" t="inlineStr"/>
      <c r="L1963" t="n">
        <v>0.9518866713360842</v>
      </c>
      <c r="M1963" t="n">
        <v>0.9388087949481922</v>
      </c>
      <c r="N1963" t="inlineStr">
        <is>
          <t>Yes</t>
        </is>
      </c>
      <c r="O1963" t="inlineStr">
        <is>
          <t>equal</t>
        </is>
      </c>
      <c r="P1963" t="inlineStr">
        <is>
          <t>deposited</t>
        </is>
      </c>
      <c r="Q1963" t="inlineStr"/>
      <c r="R1963" t="inlineStr"/>
      <c r="S1963">
        <f>HYPERLINK("https://helical-indexing-hi3d.streamlit.app/?emd_id=emd-50999&amp;rise=19.837486163611302&amp;twist=57.74744473784864&amp;csym=1&amp;rise2=19.8&amp;twist2=57.7&amp;csym2=1", "Link")</f>
        <v/>
      </c>
    </row>
    <row r="1964">
      <c r="A1964" t="inlineStr">
        <is>
          <t>EMD-51733</t>
        </is>
      </c>
      <c r="B1964" t="inlineStr">
        <is>
          <t>amyloid</t>
        </is>
      </c>
      <c r="C1964" t="n">
        <v>3.1</v>
      </c>
      <c r="D1964" t="n">
        <v>4.86</v>
      </c>
      <c r="E1964" t="n">
        <v>-1.07</v>
      </c>
      <c r="F1964" t="inlineStr">
        <is>
          <t>C1</t>
        </is>
      </c>
      <c r="G1964" t="inlineStr">
        <is>
          <t>4.854699999428466</t>
        </is>
      </c>
      <c r="H1964" t="n">
        <v>-1.080229714</v>
      </c>
      <c r="I1964" t="inlineStr">
        <is>
          <t>C1</t>
        </is>
      </c>
      <c r="J1964" t="n">
        <v>0.007452826</v>
      </c>
      <c r="K1964" t="inlineStr"/>
      <c r="L1964" t="n">
        <v>0.965396023</v>
      </c>
      <c r="M1964" t="n">
        <v>0.9629149901910032</v>
      </c>
      <c r="N1964" t="inlineStr">
        <is>
          <t>Yes</t>
        </is>
      </c>
      <c r="O1964" t="inlineStr">
        <is>
          <t>equal</t>
        </is>
      </c>
      <c r="P1964" t="inlineStr">
        <is>
          <t>deposited</t>
        </is>
      </c>
      <c r="Q1964" t="inlineStr"/>
      <c r="R1964" t="inlineStr"/>
      <c r="S1964">
        <f>HYPERLINK("https://helical-indexing-hi3d.streamlit.app/?emd_id=emd-51733&amp;rise=4.854699999428466&amp;twist=-1.080229714&amp;csym=1&amp;rise2=4.86&amp;twist2=-1.07&amp;csym2=1", "Link")</f>
        <v/>
      </c>
    </row>
    <row r="1965">
      <c r="A1965" t="inlineStr">
        <is>
          <t>EMD-51737</t>
        </is>
      </c>
      <c r="B1965" t="inlineStr">
        <is>
          <t>amyloid</t>
        </is>
      </c>
      <c r="C1965" t="n">
        <v>3</v>
      </c>
      <c r="D1965" t="n">
        <v>2.43</v>
      </c>
      <c r="E1965" t="n">
        <v>179.48</v>
      </c>
      <c r="F1965" t="inlineStr">
        <is>
          <t>C1</t>
        </is>
      </c>
      <c r="G1965" t="inlineStr">
        <is>
          <t>2.4276983836196884</t>
        </is>
      </c>
      <c r="H1965" t="n">
        <v>179.4835297833092</v>
      </c>
      <c r="I1965" t="inlineStr">
        <is>
          <t>C1</t>
        </is>
      </c>
      <c r="J1965" t="n">
        <v>0.002884336</v>
      </c>
      <c r="K1965" t="inlineStr"/>
      <c r="L1965" t="n">
        <v>0.9668722970745663</v>
      </c>
      <c r="M1965" t="n">
        <v>0.9683744472655246</v>
      </c>
      <c r="N1965" t="inlineStr">
        <is>
          <t>Yes</t>
        </is>
      </c>
      <c r="O1965" t="inlineStr">
        <is>
          <t>equal</t>
        </is>
      </c>
      <c r="P1965" t="inlineStr">
        <is>
          <t>deposited</t>
        </is>
      </c>
      <c r="Q1965" t="inlineStr"/>
      <c r="R1965" t="inlineStr"/>
      <c r="S1965">
        <f>HYPERLINK("https://helical-indexing-hi3d.streamlit.app/?emd_id=emd-51737&amp;rise=2.4276983836196884&amp;twist=179.48352978330922&amp;csym=1&amp;rise2=2.43&amp;twist2=179.48&amp;csym2=1", "Link")</f>
        <v/>
      </c>
    </row>
    <row r="1966">
      <c r="A1966" t="inlineStr">
        <is>
          <t>EMD-51734</t>
        </is>
      </c>
      <c r="B1966" t="inlineStr">
        <is>
          <t>amyloid</t>
        </is>
      </c>
      <c r="C1966" t="n">
        <v>2.9</v>
      </c>
      <c r="D1966" t="n">
        <v>2.43</v>
      </c>
      <c r="E1966" t="n">
        <v>179.46</v>
      </c>
      <c r="F1966" t="inlineStr">
        <is>
          <t>C1</t>
        </is>
      </c>
      <c r="G1966" t="inlineStr">
        <is>
          <t>2.424387266041645</t>
        </is>
      </c>
      <c r="H1966" t="n">
        <v>179.4535516508332</v>
      </c>
      <c r="I1966" t="inlineStr">
        <is>
          <t>C1</t>
        </is>
      </c>
      <c r="J1966" t="n">
        <v>0.006591021</v>
      </c>
      <c r="K1966" t="inlineStr"/>
      <c r="L1966" t="n">
        <v>0.9657137112681377</v>
      </c>
      <c r="M1966" t="n">
        <v>0.9655205427534832</v>
      </c>
      <c r="N1966" t="inlineStr">
        <is>
          <t>Yes</t>
        </is>
      </c>
      <c r="O1966" t="inlineStr">
        <is>
          <t>equal</t>
        </is>
      </c>
      <c r="P1966" t="inlineStr">
        <is>
          <t>deposited</t>
        </is>
      </c>
      <c r="Q1966" t="inlineStr"/>
      <c r="R1966" t="inlineStr"/>
      <c r="S1966">
        <f>HYPERLINK("https://helical-indexing-hi3d.streamlit.app/?emd_id=emd-51734&amp;rise=2.424387266041645&amp;twist=179.45355165083316&amp;csym=1&amp;rise2=2.43&amp;twist2=179.46&amp;csym2=1", "Link")</f>
        <v/>
      </c>
    </row>
    <row r="1967">
      <c r="A1967" t="inlineStr">
        <is>
          <t>EMD-51736</t>
        </is>
      </c>
      <c r="B1967" t="inlineStr">
        <is>
          <t>amyloid</t>
        </is>
      </c>
      <c r="C1967" t="n">
        <v>3.1</v>
      </c>
      <c r="D1967" t="n">
        <v>4.86</v>
      </c>
      <c r="E1967" t="n">
        <v>-1.08</v>
      </c>
      <c r="F1967" t="inlineStr">
        <is>
          <t>C1</t>
        </is>
      </c>
      <c r="G1967" t="inlineStr">
        <is>
          <t>4.8570584351692325</t>
        </is>
      </c>
      <c r="H1967" t="n">
        <v>-1.095758946</v>
      </c>
      <c r="I1967" t="inlineStr">
        <is>
          <t>C1</t>
        </is>
      </c>
      <c r="J1967" t="n">
        <v>0.008460982000000001</v>
      </c>
      <c r="K1967" t="inlineStr"/>
      <c r="L1967" t="n">
        <v>0.9646804597832622</v>
      </c>
      <c r="M1967" t="n">
        <v>0.96297657465501</v>
      </c>
      <c r="N1967" t="inlineStr">
        <is>
          <t>Yes</t>
        </is>
      </c>
      <c r="O1967" t="inlineStr">
        <is>
          <t>equal</t>
        </is>
      </c>
      <c r="P1967" t="inlineStr">
        <is>
          <t>deposited</t>
        </is>
      </c>
      <c r="Q1967" t="inlineStr"/>
      <c r="R1967" t="inlineStr"/>
      <c r="S1967">
        <f>HYPERLINK("https://helical-indexing-hi3d.streamlit.app/?emd_id=emd-51736&amp;rise=4.8570584351692325&amp;twist=-1.095758946&amp;csym=1&amp;rise2=4.86&amp;twist2=-1.08&amp;csym2=1", "Link")</f>
        <v/>
      </c>
    </row>
    <row r="1968">
      <c r="A1968" t="inlineStr">
        <is>
          <t>EMD-51730</t>
        </is>
      </c>
      <c r="B1968" t="inlineStr">
        <is>
          <t>amyloid</t>
        </is>
      </c>
      <c r="C1968" t="n">
        <v>2.9</v>
      </c>
      <c r="D1968" t="n">
        <v>2.43</v>
      </c>
      <c r="E1968" t="n">
        <v>179.38</v>
      </c>
      <c r="F1968" t="inlineStr">
        <is>
          <t>C1</t>
        </is>
      </c>
      <c r="G1968" t="inlineStr">
        <is>
          <t>2.4337596227510336</t>
        </is>
      </c>
      <c r="H1968" t="n">
        <v>179.3774617155103</v>
      </c>
      <c r="I1968" t="inlineStr">
        <is>
          <t>C1</t>
        </is>
      </c>
      <c r="J1968" t="n">
        <v>0.003891274</v>
      </c>
      <c r="K1968" t="inlineStr"/>
      <c r="L1968" t="n">
        <v>0.9601371461456626</v>
      </c>
      <c r="M1968" t="n">
        <v>0.954374689</v>
      </c>
      <c r="N1968" t="inlineStr">
        <is>
          <t>Yes</t>
        </is>
      </c>
      <c r="O1968" t="inlineStr">
        <is>
          <t>equal</t>
        </is>
      </c>
      <c r="P1968" t="inlineStr">
        <is>
          <t>deposited</t>
        </is>
      </c>
      <c r="Q1968" t="inlineStr"/>
      <c r="R1968" t="inlineStr"/>
      <c r="S1968">
        <f>HYPERLINK("https://helical-indexing-hi3d.streamlit.app/?emd_id=emd-51730&amp;rise=2.4337596227510336&amp;twist=179.37746171551032&amp;csym=1&amp;rise2=2.43&amp;twist2=179.38&amp;csym2=1", "Link")</f>
        <v/>
      </c>
    </row>
    <row r="1969">
      <c r="A1969" t="inlineStr">
        <is>
          <t>EMD-18852</t>
        </is>
      </c>
      <c r="B1969" t="inlineStr">
        <is>
          <t>non-amyloid</t>
        </is>
      </c>
      <c r="C1969" t="n">
        <v>3.1</v>
      </c>
      <c r="D1969" t="n">
        <v>17.4</v>
      </c>
      <c r="E1969" t="n">
        <v>126.5</v>
      </c>
      <c r="F1969" t="inlineStr">
        <is>
          <t>C1</t>
        </is>
      </c>
      <c r="G1969" t="inlineStr">
        <is>
          <t>17.43561663368292</t>
        </is>
      </c>
      <c r="H1969" t="n">
        <v>126.4798325381554</v>
      </c>
      <c r="I1969" t="inlineStr">
        <is>
          <t>C1</t>
        </is>
      </c>
      <c r="J1969" t="n">
        <v>0.036170666</v>
      </c>
      <c r="K1969" t="inlineStr"/>
      <c r="L1969" t="n">
        <v>0.9538852527802884</v>
      </c>
      <c r="M1969" t="n">
        <v>0.9017400961095532</v>
      </c>
      <c r="N1969" t="inlineStr">
        <is>
          <t>Yes</t>
        </is>
      </c>
      <c r="O1969" t="inlineStr">
        <is>
          <t>equal</t>
        </is>
      </c>
      <c r="P1969" t="inlineStr">
        <is>
          <t>deposited</t>
        </is>
      </c>
      <c r="Q1969" t="inlineStr"/>
      <c r="R1969" t="inlineStr"/>
      <c r="S1969">
        <f>HYPERLINK("https://helical-indexing-hi3d.streamlit.app/?emd_id=emd-18852&amp;rise=17.43561663368292&amp;twist=126.4798325381554&amp;csym=1&amp;rise2=17.4&amp;twist2=126.5&amp;csym2=1", "Link")</f>
        <v/>
      </c>
    </row>
    <row r="1970">
      <c r="A1970" t="inlineStr">
        <is>
          <t>EMD-51735</t>
        </is>
      </c>
      <c r="B1970" t="inlineStr">
        <is>
          <t>amyloid</t>
        </is>
      </c>
      <c r="C1970" t="n">
        <v>2.9</v>
      </c>
      <c r="D1970" t="n">
        <v>2.43</v>
      </c>
      <c r="E1970" t="n">
        <v>179.39</v>
      </c>
      <c r="F1970" t="inlineStr">
        <is>
          <t>C1</t>
        </is>
      </c>
      <c r="G1970" t="inlineStr">
        <is>
          <t>2.432581529765649</t>
        </is>
      </c>
      <c r="H1970" t="n">
        <v>179.3903000013692</v>
      </c>
      <c r="I1970" t="inlineStr">
        <is>
          <t>C1</t>
        </is>
      </c>
      <c r="J1970" t="n">
        <v>0.002584582</v>
      </c>
      <c r="K1970" t="inlineStr"/>
      <c r="L1970" t="n">
        <v>0.9622063520519512</v>
      </c>
      <c r="M1970" t="n">
        <v>0.9596663834428176</v>
      </c>
      <c r="N1970" t="inlineStr">
        <is>
          <t>Yes</t>
        </is>
      </c>
      <c r="O1970" t="inlineStr">
        <is>
          <t>equal</t>
        </is>
      </c>
      <c r="P1970" t="inlineStr">
        <is>
          <t>deposited</t>
        </is>
      </c>
      <c r="Q1970" t="inlineStr"/>
      <c r="R1970" t="inlineStr"/>
      <c r="S1970">
        <f>HYPERLINK("https://helical-indexing-hi3d.streamlit.app/?emd_id=emd-51735&amp;rise=2.432581529765649&amp;twist=179.3903000013692&amp;csym=1&amp;rise2=2.43&amp;twist2=179.39&amp;csym2=1", "Link")</f>
        <v/>
      </c>
    </row>
    <row r="1971">
      <c r="A1971" t="inlineStr">
        <is>
          <t>EMD-47096</t>
        </is>
      </c>
      <c r="B1971" t="inlineStr">
        <is>
          <t>amyloid</t>
        </is>
      </c>
      <c r="C1971" t="n">
        <v>3.6</v>
      </c>
      <c r="D1971" t="n">
        <v>4.98</v>
      </c>
      <c r="E1971" t="n">
        <v>1.79</v>
      </c>
      <c r="F1971" t="inlineStr">
        <is>
          <t>C2</t>
        </is>
      </c>
      <c r="G1971" t="inlineStr">
        <is>
          <t>4.995216491572817</t>
        </is>
      </c>
      <c r="H1971" t="n">
        <v>1.795493195630627</v>
      </c>
      <c r="I1971" t="inlineStr">
        <is>
          <t>C2</t>
        </is>
      </c>
      <c r="J1971" t="n">
        <v>0.015266135654336</v>
      </c>
      <c r="K1971" t="inlineStr"/>
      <c r="L1971" t="n">
        <v>0.9855956212968324</v>
      </c>
      <c r="M1971" t="n">
        <v>0.9905155672408692</v>
      </c>
      <c r="N1971" t="inlineStr">
        <is>
          <t>Yes</t>
        </is>
      </c>
      <c r="O1971" t="inlineStr">
        <is>
          <t>equal</t>
        </is>
      </c>
      <c r="P1971" t="inlineStr">
        <is>
          <t>deposited</t>
        </is>
      </c>
      <c r="Q1971" t="inlineStr"/>
      <c r="R1971" t="inlineStr"/>
      <c r="S1971">
        <f>HYPERLINK("https://helical-indexing-hi3d.streamlit.app/?emd_id=emd-47096&amp;rise=4.995216491572817&amp;twist=1.7954931956306268&amp;csym=2&amp;rise2=4.98&amp;twist2=1.79&amp;csym2=2", "Link")</f>
        <v/>
      </c>
    </row>
    <row r="1972">
      <c r="A1972" t="inlineStr">
        <is>
          <t>EMD-46060</t>
        </is>
      </c>
      <c r="B1972" t="inlineStr">
        <is>
          <t>amyloid</t>
        </is>
      </c>
      <c r="C1972" t="n">
        <v>2.7</v>
      </c>
      <c r="D1972" t="n">
        <v>4.94</v>
      </c>
      <c r="E1972" t="n">
        <v>-1.77</v>
      </c>
      <c r="F1972" t="inlineStr">
        <is>
          <t>C5</t>
        </is>
      </c>
      <c r="G1972" t="inlineStr">
        <is>
          <t>4.878118018638039</t>
        </is>
      </c>
      <c r="H1972" t="n">
        <v>-1.708307191</v>
      </c>
      <c r="I1972" t="inlineStr">
        <is>
          <t>C5</t>
        </is>
      </c>
      <c r="J1972" t="n">
        <v>0.063148391</v>
      </c>
      <c r="K1972" t="inlineStr"/>
      <c r="L1972" t="n">
        <v>0.9962710211145048</v>
      </c>
      <c r="M1972" t="n">
        <v>0.916096947</v>
      </c>
      <c r="N1972" t="inlineStr">
        <is>
          <t>Yes</t>
        </is>
      </c>
      <c r="O1972" t="inlineStr">
        <is>
          <t>equal</t>
        </is>
      </c>
      <c r="P1972" t="inlineStr">
        <is>
          <t>deposited</t>
        </is>
      </c>
      <c r="Q1972" t="inlineStr"/>
      <c r="R1972" t="inlineStr"/>
      <c r="S1972">
        <f>HYPERLINK("https://helical-indexing-hi3d.streamlit.app/?emd_id=emd-46060&amp;rise=4.878118018638039&amp;twist=-1.708307191&amp;csym=5&amp;rise2=4.94&amp;twist2=-1.77&amp;csym2=5", "Link")</f>
        <v/>
      </c>
    </row>
    <row r="1973">
      <c r="A1973" t="inlineStr">
        <is>
          <t>EMD-60603</t>
        </is>
      </c>
      <c r="B1973" t="inlineStr">
        <is>
          <t>amyloid</t>
        </is>
      </c>
      <c r="C1973" t="n">
        <v>3.3</v>
      </c>
      <c r="D1973" t="n">
        <v>2.454</v>
      </c>
      <c r="E1973" t="n">
        <v>179.2</v>
      </c>
      <c r="F1973" t="inlineStr">
        <is>
          <t>C1</t>
        </is>
      </c>
      <c r="G1973" t="inlineStr">
        <is>
          <t>2.453448357071726</t>
        </is>
      </c>
      <c r="H1973" t="n">
        <v>179.1932477091862</v>
      </c>
      <c r="I1973" t="inlineStr">
        <is>
          <t>C1</t>
        </is>
      </c>
      <c r="J1973" t="n">
        <v>0.001845754</v>
      </c>
      <c r="K1973" t="inlineStr"/>
      <c r="L1973" t="n">
        <v>0.95347354</v>
      </c>
      <c r="M1973" t="n">
        <v>0.9531981822945316</v>
      </c>
      <c r="N1973" t="inlineStr">
        <is>
          <t>Yes</t>
        </is>
      </c>
      <c r="O1973" t="inlineStr">
        <is>
          <t>equal</t>
        </is>
      </c>
      <c r="P1973" t="inlineStr">
        <is>
          <t>deposited</t>
        </is>
      </c>
      <c r="Q1973" t="inlineStr"/>
      <c r="R1973" t="inlineStr"/>
      <c r="S1973">
        <f>HYPERLINK("https://helical-indexing-hi3d.streamlit.app/?emd_id=emd-60603&amp;rise=2.453448357071726&amp;twist=179.19324770918615&amp;csym=1&amp;rise2=2.454&amp;twist2=179.2&amp;csym2=1", "Link")</f>
        <v/>
      </c>
    </row>
    <row r="1974">
      <c r="A1974" t="inlineStr">
        <is>
          <t>EMD-46550</t>
        </is>
      </c>
      <c r="B1974" t="inlineStr">
        <is>
          <t>non-amyloid</t>
        </is>
      </c>
      <c r="C1974" t="n">
        <v>3.06</v>
      </c>
      <c r="D1974" t="n">
        <v>16</v>
      </c>
      <c r="E1974" t="n">
        <v>56</v>
      </c>
      <c r="F1974" t="inlineStr">
        <is>
          <t>C1</t>
        </is>
      </c>
      <c r="G1974" t="inlineStr">
        <is>
          <t>15.474819514354987</t>
        </is>
      </c>
      <c r="H1974" t="n">
        <v>56.54382338550414</v>
      </c>
      <c r="I1974" t="inlineStr">
        <is>
          <t>C1</t>
        </is>
      </c>
      <c r="J1974" t="n">
        <v>0.5652438880267332</v>
      </c>
      <c r="K1974" t="inlineStr"/>
      <c r="L1974" t="n">
        <v>0.7438390926956926</v>
      </c>
      <c r="M1974" t="n">
        <v>0.7220444295098638</v>
      </c>
      <c r="N1974" t="inlineStr">
        <is>
          <t>Yes</t>
        </is>
      </c>
      <c r="O1974" t="inlineStr">
        <is>
          <t>equal</t>
        </is>
      </c>
      <c r="P1974" t="inlineStr">
        <is>
          <t>deposited</t>
        </is>
      </c>
      <c r="Q1974" t="inlineStr"/>
      <c r="R1974" t="inlineStr"/>
      <c r="S1974">
        <f>HYPERLINK("https://helical-indexing-hi3d.streamlit.app/?emd_id=emd-46550&amp;rise=15.474819514354987&amp;twist=56.54382338550414&amp;csym=1&amp;rise2=16.0&amp;twist2=56.0&amp;csym2=1", "Link")</f>
        <v/>
      </c>
    </row>
    <row r="1975">
      <c r="A1975" t="inlineStr">
        <is>
          <t>EMD-70093</t>
        </is>
      </c>
      <c r="B1975" t="inlineStr">
        <is>
          <t>amyloid</t>
        </is>
      </c>
      <c r="C1975" t="n">
        <v>2.59</v>
      </c>
      <c r="D1975" t="n">
        <v>9.65</v>
      </c>
      <c r="E1975" t="n">
        <v>-2.28</v>
      </c>
      <c r="F1975" t="inlineStr">
        <is>
          <t>C1</t>
        </is>
      </c>
      <c r="G1975" t="inlineStr">
        <is>
          <t>9.65</t>
        </is>
      </c>
      <c r="H1975" t="n">
        <v>-2.28</v>
      </c>
      <c r="I1975" t="inlineStr">
        <is>
          <t>C1</t>
        </is>
      </c>
      <c r="J1975" t="n">
        <v>4.862659515304195</v>
      </c>
      <c r="K1975" t="inlineStr"/>
      <c r="L1975" t="n">
        <v>0.966131028746234</v>
      </c>
      <c r="M1975" t="n">
        <v>0.950549941</v>
      </c>
      <c r="N1975" t="inlineStr">
        <is>
          <t>Yes</t>
        </is>
      </c>
      <c r="O1975" t="inlineStr">
        <is>
          <t>equal</t>
        </is>
      </c>
      <c r="P1975" t="inlineStr">
        <is>
          <t>deposited</t>
        </is>
      </c>
      <c r="Q1975" t="inlineStr"/>
      <c r="R1975" t="inlineStr"/>
      <c r="S1975">
        <f>HYPERLINK("https://helical-indexing-hi3d.streamlit.app/?emd_id=emd-70093&amp;rise=9.65&amp;twist=-2.28&amp;csym=1&amp;rise2=9.65&amp;twist2=-2.28&amp;csym2=1", "Link")</f>
        <v/>
      </c>
    </row>
    <row r="1976">
      <c r="A1976" t="inlineStr">
        <is>
          <t>EMD-45221</t>
        </is>
      </c>
      <c r="B1976" t="inlineStr">
        <is>
          <t>amyloid</t>
        </is>
      </c>
      <c r="C1976" t="n">
        <v>2.61</v>
      </c>
      <c r="D1976" t="n">
        <v>2.408</v>
      </c>
      <c r="E1976" t="n">
        <v>179.477</v>
      </c>
      <c r="F1976" t="inlineStr">
        <is>
          <t>C1</t>
        </is>
      </c>
      <c r="G1976" t="inlineStr">
        <is>
          <t>2.408</t>
        </is>
      </c>
      <c r="H1976" t="n">
        <v>179.477</v>
      </c>
      <c r="I1976" t="inlineStr">
        <is>
          <t>C1</t>
        </is>
      </c>
      <c r="J1976" t="n">
        <v>0</v>
      </c>
      <c r="K1976" t="inlineStr"/>
      <c r="L1976" t="n">
        <v>0.8415232960419604</v>
      </c>
      <c r="M1976" t="n">
        <v>0.8415232960419604</v>
      </c>
      <c r="N1976" t="inlineStr">
        <is>
          <t>Yes</t>
        </is>
      </c>
      <c r="O1976" t="inlineStr">
        <is>
          <t>equal</t>
        </is>
      </c>
      <c r="P1976" t="inlineStr">
        <is>
          <t>deposited</t>
        </is>
      </c>
      <c r="Q1976" t="inlineStr"/>
      <c r="R1976" t="inlineStr"/>
      <c r="S1976">
        <f>HYPERLINK("https://helical-indexing-hi3d.streamlit.app/?emd_id=emd-45221&amp;rise=2.408&amp;twist=179.477&amp;csym=1&amp;rise2=2.408&amp;twist2=179.477&amp;csym2=1", "Link")</f>
        <v/>
      </c>
    </row>
    <row r="1977">
      <c r="A1977" t="inlineStr">
        <is>
          <t>EMD-50583</t>
        </is>
      </c>
      <c r="B1977" t="inlineStr">
        <is>
          <t>non-amyloid</t>
        </is>
      </c>
      <c r="C1977" t="n">
        <v>3.55</v>
      </c>
      <c r="D1977" t="n">
        <v>1.05</v>
      </c>
      <c r="E1977" t="n">
        <v>173.9</v>
      </c>
      <c r="F1977" t="inlineStr">
        <is>
          <t>C1</t>
        </is>
      </c>
      <c r="G1977" t="inlineStr">
        <is>
          <t>1.05</t>
        </is>
      </c>
      <c r="H1977" t="n">
        <v>173.9</v>
      </c>
      <c r="I1977" t="inlineStr">
        <is>
          <t>C1</t>
        </is>
      </c>
      <c r="J1977" t="n">
        <v>0</v>
      </c>
      <c r="K1977" t="inlineStr"/>
      <c r="L1977" t="n">
        <v>0.9199269359755172</v>
      </c>
      <c r="M1977" t="n">
        <v>0.9199269359755172</v>
      </c>
      <c r="N1977" t="inlineStr">
        <is>
          <t>Yes</t>
        </is>
      </c>
      <c r="O1977" t="inlineStr">
        <is>
          <t>equal</t>
        </is>
      </c>
      <c r="P1977" t="inlineStr">
        <is>
          <t>deposited</t>
        </is>
      </c>
      <c r="Q1977" t="inlineStr"/>
      <c r="R1977" t="inlineStr"/>
      <c r="S1977">
        <f>HYPERLINK("https://helical-indexing-hi3d.streamlit.app/?emd_id=emd-50583&amp;rise=1.05&amp;twist=173.9&amp;csym=1&amp;rise2=1.05&amp;twist2=173.9&amp;csym2=1", "Link")</f>
        <v/>
      </c>
    </row>
    <row r="1978">
      <c r="A1978" t="inlineStr">
        <is>
          <t>EMD-50749</t>
        </is>
      </c>
      <c r="B1978" t="inlineStr">
        <is>
          <t>non-amyloid</t>
        </is>
      </c>
      <c r="C1978" t="n">
        <v>6.5</v>
      </c>
      <c r="D1978" t="n">
        <v>29.9</v>
      </c>
      <c r="E1978" t="n">
        <v>0.4</v>
      </c>
      <c r="F1978" t="inlineStr">
        <is>
          <t>C1</t>
        </is>
      </c>
      <c r="G1978" t="inlineStr">
        <is>
          <t>29.9</t>
        </is>
      </c>
      <c r="H1978" t="n">
        <v>0.4</v>
      </c>
      <c r="I1978" t="inlineStr">
        <is>
          <t>C1</t>
        </is>
      </c>
      <c r="J1978" t="n">
        <v>0</v>
      </c>
      <c r="K1978" t="inlineStr"/>
      <c r="L1978" t="n">
        <v>0.8391371252509343</v>
      </c>
      <c r="M1978" t="n">
        <v>0.8391371252509343</v>
      </c>
      <c r="N1978" t="inlineStr">
        <is>
          <t>Yes</t>
        </is>
      </c>
      <c r="O1978" t="inlineStr">
        <is>
          <t>equal</t>
        </is>
      </c>
      <c r="P1978" t="inlineStr">
        <is>
          <t>deposited</t>
        </is>
      </c>
      <c r="Q1978" t="inlineStr"/>
      <c r="R1978" t="inlineStr"/>
      <c r="S1978">
        <f>HYPERLINK("https://helical-indexing-hi3d.streamlit.app/?emd_id=emd-50749&amp;rise=29.9&amp;twist=0.4&amp;csym=1&amp;rise2=29.9&amp;twist2=0.4&amp;csym2=1", "Link")</f>
        <v/>
      </c>
    </row>
    <row r="1979">
      <c r="A1979" t="inlineStr">
        <is>
          <t>EMD-52463</t>
        </is>
      </c>
      <c r="B1979" t="inlineStr">
        <is>
          <t>microtubule</t>
        </is>
      </c>
      <c r="C1979" t="n">
        <v>3.3</v>
      </c>
      <c r="D1979" t="n">
        <v>11.73</v>
      </c>
      <c r="E1979" t="n">
        <v>52.49</v>
      </c>
      <c r="F1979" t="inlineStr">
        <is>
          <t>C1</t>
        </is>
      </c>
      <c r="G1979" t="inlineStr">
        <is>
          <t>5.858348591590763</t>
        </is>
      </c>
      <c r="H1979" t="n">
        <v>-153.7557938</v>
      </c>
      <c r="I1979" t="inlineStr">
        <is>
          <t>C1</t>
        </is>
      </c>
      <c r="J1979" t="n">
        <v>41.42641770948645</v>
      </c>
      <c r="K1979" t="inlineStr"/>
      <c r="L1979" t="n">
        <v>0.9183574500992032</v>
      </c>
      <c r="M1979" t="n">
        <v>0.9045519004481816</v>
      </c>
      <c r="N1979" t="inlineStr">
        <is>
          <t>Yes</t>
        </is>
      </c>
      <c r="O1979" t="inlineStr">
        <is>
          <t>equal</t>
        </is>
      </c>
      <c r="P1979" t="inlineStr">
        <is>
          <t>different</t>
        </is>
      </c>
      <c r="Q1979" t="inlineStr">
        <is>
          <t>partial symmetry</t>
        </is>
      </c>
      <c r="R1979" t="inlineStr"/>
      <c r="S1979">
        <f>HYPERLINK("https://helical-indexing-hi3d.streamlit.app/?emd_id=emd-52463&amp;rise=5.858348591590763&amp;twist=-153.7557938&amp;csym=1&amp;rise2=11.73&amp;twist2=52.49&amp;csym2=1", "Link")</f>
        <v/>
      </c>
    </row>
    <row r="1980">
      <c r="A1980" t="inlineStr">
        <is>
          <t>EMD-46578</t>
        </is>
      </c>
      <c r="B1980" t="inlineStr">
        <is>
          <t>non-amyloid</t>
        </is>
      </c>
      <c r="C1980" t="n">
        <v>3.08</v>
      </c>
      <c r="D1980" t="n">
        <v>30.078</v>
      </c>
      <c r="E1980" t="n">
        <v>-63.398</v>
      </c>
      <c r="F1980" t="inlineStr">
        <is>
          <t>D1</t>
        </is>
      </c>
      <c r="G1980" t="inlineStr">
        <is>
          <t>30.040069471431238</t>
        </is>
      </c>
      <c r="H1980" t="n">
        <v>63.42791422468704</v>
      </c>
      <c r="I1980" t="inlineStr">
        <is>
          <t>C1</t>
        </is>
      </c>
      <c r="J1980" t="n">
        <v>38.55312778398</v>
      </c>
      <c r="K1980" t="inlineStr"/>
      <c r="L1980" t="n">
        <v>0.5383569853260656</v>
      </c>
      <c r="M1980" t="n">
        <v>0.6947667128386177</v>
      </c>
      <c r="N1980" t="inlineStr">
        <is>
          <t>Yes</t>
        </is>
      </c>
      <c r="O1980" t="inlineStr">
        <is>
          <t>improve</t>
        </is>
      </c>
      <c r="P1980" t="inlineStr">
        <is>
          <t>twist sign</t>
        </is>
      </c>
      <c r="Q1980" t="inlineStr"/>
      <c r="R1980" t="inlineStr"/>
      <c r="S1980">
        <f>HYPERLINK("https://helical-indexing-hi3d.streamlit.app/?emd_id=emd-46578&amp;rise=30.040069471431238&amp;twist=63.42791422468704&amp;csym=1&amp;rise2=30.078&amp;twist2=-63.398&amp;csym2=1", "Link")</f>
        <v/>
      </c>
    </row>
    <row r="1981">
      <c r="A1981" t="inlineStr">
        <is>
          <t>EMD-61305</t>
        </is>
      </c>
      <c r="B1981" t="inlineStr">
        <is>
          <t>amyloid</t>
        </is>
      </c>
      <c r="C1981" t="n">
        <v>2.9</v>
      </c>
      <c r="D1981" t="n">
        <v>4.75</v>
      </c>
      <c r="E1981" t="n">
        <v>-2.12</v>
      </c>
      <c r="F1981" t="inlineStr">
        <is>
          <t>C1</t>
        </is>
      </c>
      <c r="G1981" t="inlineStr">
        <is>
          <t>4.75</t>
        </is>
      </c>
      <c r="H1981" t="n">
        <v>-2.12</v>
      </c>
      <c r="I1981" t="inlineStr">
        <is>
          <t>C1</t>
        </is>
      </c>
      <c r="J1981" t="n">
        <v>0</v>
      </c>
      <c r="K1981" t="inlineStr"/>
      <c r="L1981" t="n">
        <v>0.7772772052583833</v>
      </c>
      <c r="M1981" t="n">
        <v>0.7772772052583833</v>
      </c>
      <c r="N1981" t="inlineStr">
        <is>
          <t>Yes</t>
        </is>
      </c>
      <c r="O1981" t="inlineStr">
        <is>
          <t>equal</t>
        </is>
      </c>
      <c r="P1981" t="inlineStr">
        <is>
          <t>deposited</t>
        </is>
      </c>
      <c r="Q1981" t="inlineStr"/>
      <c r="R1981" t="inlineStr"/>
      <c r="S1981">
        <f>HYPERLINK("https://helical-indexing-hi3d.streamlit.app/?emd_id=emd-61305&amp;rise=4.75&amp;twist=-2.12&amp;csym=1&amp;rise2=4.75&amp;twist2=-2.12&amp;csym2=1", "Link")</f>
        <v/>
      </c>
    </row>
    <row r="1982">
      <c r="A1982" t="inlineStr">
        <is>
          <t>EMD-19992</t>
        </is>
      </c>
      <c r="B1982" t="inlineStr">
        <is>
          <t>non-amyloid</t>
        </is>
      </c>
      <c r="C1982" t="n">
        <v>3.8</v>
      </c>
      <c r="D1982" t="n">
        <v>40.22</v>
      </c>
      <c r="E1982" t="n">
        <v>16.93</v>
      </c>
      <c r="F1982" t="inlineStr">
        <is>
          <t>C6</t>
        </is>
      </c>
      <c r="G1982" t="inlineStr">
        <is>
          <t>40.22</t>
        </is>
      </c>
      <c r="H1982" t="n">
        <v>16.93</v>
      </c>
      <c r="I1982" t="inlineStr">
        <is>
          <t>C6</t>
        </is>
      </c>
      <c r="J1982" t="n">
        <v>0</v>
      </c>
      <c r="K1982" t="inlineStr"/>
      <c r="L1982" t="n">
        <v>0.9779334028539588</v>
      </c>
      <c r="M1982" t="n">
        <v>0.9779334028539588</v>
      </c>
      <c r="N1982" t="inlineStr">
        <is>
          <t>Yes</t>
        </is>
      </c>
      <c r="O1982" t="inlineStr">
        <is>
          <t>equal</t>
        </is>
      </c>
      <c r="P1982" t="inlineStr">
        <is>
          <t>deposited</t>
        </is>
      </c>
      <c r="Q1982" t="inlineStr"/>
      <c r="R1982" t="inlineStr"/>
      <c r="S1982">
        <f>HYPERLINK("https://helical-indexing-hi3d.streamlit.app/?emd_id=emd-19992&amp;rise=40.22&amp;twist=16.93&amp;csym=6&amp;rise2=40.22&amp;twist2=16.93&amp;csym2=6", "Link")</f>
        <v/>
      </c>
    </row>
    <row r="1983">
      <c r="A1983" t="inlineStr">
        <is>
          <t>EMD-39492</t>
        </is>
      </c>
      <c r="B1983" t="inlineStr">
        <is>
          <t>non-amyloid</t>
        </is>
      </c>
      <c r="C1983" t="n">
        <v>3.6</v>
      </c>
      <c r="D1983" t="n">
        <v>35.998</v>
      </c>
      <c r="E1983" t="n">
        <v>-23</v>
      </c>
      <c r="F1983" t="inlineStr">
        <is>
          <t>C6</t>
        </is>
      </c>
      <c r="G1983" t="inlineStr">
        <is>
          <t>35.998</t>
        </is>
      </c>
      <c r="H1983" t="n">
        <v>-23</v>
      </c>
      <c r="I1983" t="inlineStr">
        <is>
          <t>C6</t>
        </is>
      </c>
      <c r="J1983" t="n">
        <v>0</v>
      </c>
      <c r="K1983" t="inlineStr"/>
      <c r="L1983" t="n">
        <v>0.903594966</v>
      </c>
      <c r="M1983" t="n">
        <v>0.903594966</v>
      </c>
      <c r="N1983" t="inlineStr">
        <is>
          <t>Yes</t>
        </is>
      </c>
      <c r="O1983" t="inlineStr">
        <is>
          <t>equal</t>
        </is>
      </c>
      <c r="P1983" t="inlineStr">
        <is>
          <t>deposited</t>
        </is>
      </c>
      <c r="Q1983" t="inlineStr"/>
      <c r="R1983" t="inlineStr"/>
      <c r="S1983">
        <f>HYPERLINK("https://helical-indexing-hi3d.streamlit.app/?emd_id=emd-39492&amp;rise=35.998&amp;twist=-23.0&amp;csym=6&amp;rise2=35.998&amp;twist2=-23.0&amp;csym2=6", "Link")</f>
        <v/>
      </c>
    </row>
    <row r="1984">
      <c r="A1984" t="inlineStr">
        <is>
          <t>EMD-61303</t>
        </is>
      </c>
      <c r="B1984" t="inlineStr">
        <is>
          <t>amyloid</t>
        </is>
      </c>
      <c r="C1984" t="n">
        <v>2.9</v>
      </c>
      <c r="D1984" t="n">
        <v>2.37</v>
      </c>
      <c r="E1984" t="n">
        <v>178.45</v>
      </c>
      <c r="F1984" t="inlineStr">
        <is>
          <t>C1</t>
        </is>
      </c>
      <c r="G1984" t="inlineStr">
        <is>
          <t>2.37</t>
        </is>
      </c>
      <c r="H1984" t="n">
        <v>178.45</v>
      </c>
      <c r="I1984" t="inlineStr">
        <is>
          <t>C1</t>
        </is>
      </c>
      <c r="J1984" t="n">
        <v>0</v>
      </c>
      <c r="K1984" t="inlineStr"/>
      <c r="L1984" t="n">
        <v>0.7350919751184062</v>
      </c>
      <c r="M1984" t="n">
        <v>0.7350919751184062</v>
      </c>
      <c r="N1984" t="inlineStr">
        <is>
          <t>Yes</t>
        </is>
      </c>
      <c r="O1984" t="inlineStr">
        <is>
          <t>equal</t>
        </is>
      </c>
      <c r="P1984" t="inlineStr">
        <is>
          <t>deposited</t>
        </is>
      </c>
      <c r="Q1984" t="inlineStr"/>
      <c r="R1984" t="inlineStr"/>
      <c r="S1984">
        <f>HYPERLINK("https://helical-indexing-hi3d.streamlit.app/?emd_id=emd-61303&amp;rise=2.37&amp;twist=178.45&amp;csym=1&amp;rise2=2.37&amp;twist2=178.45&amp;csym2=1", "Link")</f>
        <v/>
      </c>
    </row>
    <row r="1985">
      <c r="A1985" t="inlineStr">
        <is>
          <t>EMD-51199</t>
        </is>
      </c>
      <c r="B1985" t="inlineStr">
        <is>
          <t>non-amyloid</t>
        </is>
      </c>
      <c r="C1985" t="n">
        <v>4.11</v>
      </c>
      <c r="D1985" t="n">
        <v>31.6</v>
      </c>
      <c r="E1985" t="n">
        <v>33.9</v>
      </c>
      <c r="F1985" t="inlineStr">
        <is>
          <t>C6</t>
        </is>
      </c>
      <c r="G1985" t="inlineStr">
        <is>
          <t>31.692762883720945</t>
        </is>
      </c>
      <c r="H1985" t="n">
        <v>26.09928588268559</v>
      </c>
      <c r="I1985" t="inlineStr">
        <is>
          <t>C6</t>
        </is>
      </c>
      <c r="J1985" t="n">
        <v>5.235754904596879</v>
      </c>
      <c r="K1985" t="inlineStr"/>
      <c r="L1985" t="n">
        <v>0.4375186730068938</v>
      </c>
      <c r="M1985" t="n">
        <v>0.7953481121129515</v>
      </c>
      <c r="N1985" t="inlineStr">
        <is>
          <t>Yes</t>
        </is>
      </c>
      <c r="O1985" t="inlineStr">
        <is>
          <t>improve</t>
        </is>
      </c>
      <c r="P1985" t="inlineStr">
        <is>
          <t>twist sign</t>
        </is>
      </c>
      <c r="Q1985" t="inlineStr"/>
      <c r="R1985" t="inlineStr"/>
      <c r="S1985">
        <f>HYPERLINK("https://helical-indexing-hi3d.streamlit.app/?emd_id=emd-51199&amp;rise=31.692762883720945&amp;twist=26.099285882685592&amp;csym=6&amp;rise2=31.6&amp;twist2=33.9&amp;csym2=6", "Link")</f>
        <v/>
      </c>
    </row>
    <row r="1986">
      <c r="A1986" t="inlineStr">
        <is>
          <t>EMD-44134</t>
        </is>
      </c>
      <c r="B1986" t="inlineStr">
        <is>
          <t>amyloid</t>
        </is>
      </c>
      <c r="C1986" t="n">
        <v>2.95</v>
      </c>
      <c r="D1986" t="n">
        <v>4.8</v>
      </c>
      <c r="E1986" t="n">
        <v>-1.2</v>
      </c>
      <c r="F1986" t="inlineStr">
        <is>
          <t>C1</t>
        </is>
      </c>
      <c r="G1986" t="inlineStr">
        <is>
          <t>4.8</t>
        </is>
      </c>
      <c r="H1986" t="n">
        <v>-1.2</v>
      </c>
      <c r="I1986" t="inlineStr">
        <is>
          <t>C1</t>
        </is>
      </c>
      <c r="J1986" t="n">
        <v>0</v>
      </c>
      <c r="K1986" t="inlineStr"/>
      <c r="L1986" t="n">
        <v>0.9309943573469232</v>
      </c>
      <c r="M1986" t="n">
        <v>0.9309943573469232</v>
      </c>
      <c r="N1986" t="inlineStr">
        <is>
          <t>Yes</t>
        </is>
      </c>
      <c r="O1986" t="inlineStr">
        <is>
          <t>equal</t>
        </is>
      </c>
      <c r="P1986" t="inlineStr">
        <is>
          <t>deposited</t>
        </is>
      </c>
      <c r="Q1986" t="inlineStr"/>
      <c r="R1986" t="inlineStr"/>
      <c r="S1986">
        <f>HYPERLINK("https://helical-indexing-hi3d.streamlit.app/?emd_id=emd-44134&amp;rise=4.8&amp;twist=-1.2&amp;csym=1&amp;rise2=4.8&amp;twist2=-1.2&amp;csym2=1", "Link")</f>
        <v/>
      </c>
    </row>
    <row r="1987">
      <c r="A1987" t="inlineStr">
        <is>
          <t>EMD-51194</t>
        </is>
      </c>
      <c r="B1987" t="inlineStr">
        <is>
          <t>non-amyloid</t>
        </is>
      </c>
      <c r="C1987" t="n">
        <v>2.71</v>
      </c>
      <c r="D1987" t="n">
        <v>38.9</v>
      </c>
      <c r="E1987" t="n">
        <v>19.2</v>
      </c>
      <c r="F1987" t="inlineStr">
        <is>
          <t>C6</t>
        </is>
      </c>
      <c r="G1987" t="inlineStr">
        <is>
          <t>38.9</t>
        </is>
      </c>
      <c r="H1987" t="n">
        <v>19.2</v>
      </c>
      <c r="I1987" t="inlineStr">
        <is>
          <t>C6</t>
        </is>
      </c>
      <c r="J1987" t="n">
        <v>0</v>
      </c>
      <c r="K1987" t="inlineStr"/>
      <c r="L1987" t="n">
        <v>0.9630320752387612</v>
      </c>
      <c r="M1987" t="n">
        <v>0.9630320752387612</v>
      </c>
      <c r="N1987" t="inlineStr">
        <is>
          <t>Yes</t>
        </is>
      </c>
      <c r="O1987" t="inlineStr">
        <is>
          <t>equal</t>
        </is>
      </c>
      <c r="P1987" t="inlineStr">
        <is>
          <t>deposited</t>
        </is>
      </c>
      <c r="Q1987" t="inlineStr"/>
      <c r="R1987" t="inlineStr"/>
      <c r="S1987">
        <f>HYPERLINK("https://helical-indexing-hi3d.streamlit.app/?emd_id=emd-51194&amp;rise=38.9&amp;twist=19.2&amp;csym=6&amp;rise2=38.9&amp;twist2=19.2&amp;csym2=6", "Link")</f>
        <v/>
      </c>
    </row>
    <row r="1988">
      <c r="A1988" t="inlineStr">
        <is>
          <t>EMD-52708</t>
        </is>
      </c>
      <c r="B1988" t="inlineStr">
        <is>
          <t>non-amyloid</t>
        </is>
      </c>
      <c r="C1988" t="n">
        <v>2.75</v>
      </c>
      <c r="D1988" t="n">
        <v>27.461</v>
      </c>
      <c r="E1988" t="n">
        <v>19.184</v>
      </c>
      <c r="F1988" t="inlineStr">
        <is>
          <t>C1</t>
        </is>
      </c>
      <c r="G1988" t="inlineStr">
        <is>
          <t>27.461</t>
        </is>
      </c>
      <c r="H1988" t="n">
        <v>19.184</v>
      </c>
      <c r="I1988" t="inlineStr">
        <is>
          <t>C1</t>
        </is>
      </c>
      <c r="J1988" t="n">
        <v>0</v>
      </c>
      <c r="K1988" t="inlineStr"/>
      <c r="L1988" t="n">
        <v>0.8929711642360438</v>
      </c>
      <c r="M1988" t="n">
        <v>0.8929711642360438</v>
      </c>
      <c r="N1988" t="inlineStr">
        <is>
          <t>Yes</t>
        </is>
      </c>
      <c r="O1988" t="inlineStr">
        <is>
          <t>equal</t>
        </is>
      </c>
      <c r="P1988" t="inlineStr">
        <is>
          <t>deposited</t>
        </is>
      </c>
      <c r="Q1988" t="inlineStr"/>
      <c r="R1988" t="inlineStr"/>
      <c r="S1988">
        <f>HYPERLINK("https://helical-indexing-hi3d.streamlit.app/?emd_id=emd-52708&amp;rise=27.461&amp;twist=19.184&amp;csym=1&amp;rise2=27.461&amp;twist2=19.184&amp;csym2=1", "Link")</f>
        <v/>
      </c>
    </row>
    <row r="1989">
      <c r="A1989" t="inlineStr">
        <is>
          <t>EMD-50174</t>
        </is>
      </c>
      <c r="B1989" t="inlineStr">
        <is>
          <t>microtubule</t>
        </is>
      </c>
      <c r="C1989" t="n">
        <v>4.3</v>
      </c>
      <c r="D1989" t="n">
        <v>9.59709</v>
      </c>
      <c r="E1989" t="n">
        <v>-27.6692</v>
      </c>
      <c r="F1989" t="inlineStr">
        <is>
          <t>C13</t>
        </is>
      </c>
      <c r="G1989" t="inlineStr">
        <is>
          <t>3.1946856850087215</t>
        </is>
      </c>
      <c r="H1989" t="n">
        <v>110.7685013294849</v>
      </c>
      <c r="I1989" t="inlineStr">
        <is>
          <t>C1</t>
        </is>
      </c>
      <c r="J1989" t="n">
        <v>6.402413095810296</v>
      </c>
      <c r="K1989" t="inlineStr"/>
      <c r="L1989" t="n">
        <v>0.8475217284163319</v>
      </c>
      <c r="M1989" t="n">
        <v>0.8737622822751963</v>
      </c>
      <c r="N1989" t="inlineStr">
        <is>
          <t>Yes</t>
        </is>
      </c>
      <c r="O1989" t="inlineStr">
        <is>
          <t>equal</t>
        </is>
      </c>
      <c r="P1989" t="inlineStr">
        <is>
          <t>different</t>
        </is>
      </c>
      <c r="Q1989" t="inlineStr">
        <is>
          <t>partial symmetry</t>
        </is>
      </c>
      <c r="R1989" t="inlineStr"/>
      <c r="S1989">
        <f>HYPERLINK("https://helical-indexing-hi3d.streamlit.app/?emd_id=emd-50174&amp;rise=3.1946856850087215&amp;twist=110.76850132948492&amp;csym=1&amp;rise2=9.59709&amp;twist2=-27.6692&amp;csym2=13", "Link")</f>
        <v/>
      </c>
    </row>
    <row r="1990">
      <c r="A1990" t="inlineStr">
        <is>
          <t>EMD-50177</t>
        </is>
      </c>
      <c r="B1990" t="inlineStr">
        <is>
          <t>microtubule</t>
        </is>
      </c>
      <c r="C1990" t="n">
        <v>4.3</v>
      </c>
      <c r="D1990" t="n">
        <v>9.581709999999999</v>
      </c>
      <c r="E1990" t="n">
        <v>-27.6835</v>
      </c>
      <c r="F1990" t="inlineStr">
        <is>
          <t>C13</t>
        </is>
      </c>
      <c r="G1990" t="inlineStr">
        <is>
          <t>3.1862653557565377</t>
        </is>
      </c>
      <c r="H1990" t="n">
        <v>110.7600921248778</v>
      </c>
      <c r="I1990" t="inlineStr">
        <is>
          <t>C1</t>
        </is>
      </c>
      <c r="J1990" t="n">
        <v>6.395449402205351</v>
      </c>
      <c r="K1990" t="inlineStr"/>
      <c r="L1990" t="n">
        <v>0.7339937902858591</v>
      </c>
      <c r="M1990" t="n">
        <v>0.8788323230981562</v>
      </c>
      <c r="N1990" t="inlineStr">
        <is>
          <t>Yes</t>
        </is>
      </c>
      <c r="O1990" t="inlineStr">
        <is>
          <t>improve</t>
        </is>
      </c>
      <c r="P1990" t="inlineStr">
        <is>
          <t>different</t>
        </is>
      </c>
      <c r="Q1990" t="inlineStr">
        <is>
          <t>partial symmetry</t>
        </is>
      </c>
      <c r="R1990" t="inlineStr"/>
      <c r="S1990">
        <f>HYPERLINK("https://helical-indexing-hi3d.streamlit.app/?emd_id=emd-50177&amp;rise=3.1862653557565377&amp;twist=110.76009212487776&amp;csym=1&amp;rise2=9.58171&amp;twist2=-27.6835&amp;csym2=13", "Link")</f>
        <v/>
      </c>
    </row>
    <row r="1991">
      <c r="A1991" t="inlineStr">
        <is>
          <t>EMD-50178</t>
        </is>
      </c>
      <c r="B1991" t="inlineStr">
        <is>
          <t>microtubule</t>
        </is>
      </c>
      <c r="C1991" t="n">
        <v>4.2</v>
      </c>
      <c r="D1991" t="n">
        <v>9.585979999999999</v>
      </c>
      <c r="E1991" t="n">
        <v>-27.6855</v>
      </c>
      <c r="F1991" t="inlineStr">
        <is>
          <t>C13</t>
        </is>
      </c>
      <c r="G1991" t="inlineStr">
        <is>
          <t>3.1889426311264946</t>
        </is>
      </c>
      <c r="H1991" t="n">
        <v>110.7591006808957</v>
      </c>
      <c r="I1991" t="inlineStr">
        <is>
          <t>C1</t>
        </is>
      </c>
      <c r="J1991" t="n">
        <v>6.397041970181945</v>
      </c>
      <c r="K1991" t="inlineStr"/>
      <c r="L1991" t="n">
        <v>0.7448256170215302</v>
      </c>
      <c r="M1991" t="n">
        <v>0.8944237424011855</v>
      </c>
      <c r="N1991" t="inlineStr">
        <is>
          <t>Yes</t>
        </is>
      </c>
      <c r="O1991" t="inlineStr">
        <is>
          <t>improve</t>
        </is>
      </c>
      <c r="P1991" t="inlineStr">
        <is>
          <t>different</t>
        </is>
      </c>
      <c r="Q1991" t="inlineStr">
        <is>
          <t>partial symmetry</t>
        </is>
      </c>
      <c r="R1991" t="inlineStr"/>
      <c r="S1991">
        <f>HYPERLINK("https://helical-indexing-hi3d.streamlit.app/?emd_id=emd-50178&amp;rise=3.1889426311264946&amp;twist=110.7591006808957&amp;csym=1&amp;rise2=9.58598&amp;twist2=-27.6855&amp;csym2=13", "Link")</f>
        <v/>
      </c>
    </row>
    <row r="1992">
      <c r="A1992" t="inlineStr">
        <is>
          <t>EMD-52710</t>
        </is>
      </c>
      <c r="B1992" t="inlineStr">
        <is>
          <t>non-amyloid</t>
        </is>
      </c>
      <c r="C1992" t="n">
        <v>3.71</v>
      </c>
      <c r="D1992" t="n">
        <v>29.219</v>
      </c>
      <c r="E1992" t="n">
        <v>17.812</v>
      </c>
      <c r="F1992" t="inlineStr">
        <is>
          <t>C1</t>
        </is>
      </c>
      <c r="G1992" t="inlineStr">
        <is>
          <t>29.219</t>
        </is>
      </c>
      <c r="H1992" t="n">
        <v>17.812</v>
      </c>
      <c r="I1992" t="inlineStr">
        <is>
          <t>C1</t>
        </is>
      </c>
      <c r="J1992" t="n">
        <v>0</v>
      </c>
      <c r="K1992" t="inlineStr"/>
      <c r="L1992" t="n">
        <v>0.9162604081763116</v>
      </c>
      <c r="M1992" t="n">
        <v>0.9162604081763116</v>
      </c>
      <c r="N1992" t="inlineStr">
        <is>
          <t>Yes</t>
        </is>
      </c>
      <c r="O1992" t="inlineStr">
        <is>
          <t>equal</t>
        </is>
      </c>
      <c r="P1992" t="inlineStr">
        <is>
          <t>deposited</t>
        </is>
      </c>
      <c r="Q1992" t="inlineStr"/>
      <c r="R1992" t="inlineStr"/>
      <c r="S1992">
        <f>HYPERLINK("https://helical-indexing-hi3d.streamlit.app/?emd_id=emd-52710&amp;rise=29.219&amp;twist=17.812&amp;csym=1&amp;rise2=29.219&amp;twist2=17.812&amp;csym2=1", "Link")</f>
        <v/>
      </c>
    </row>
    <row r="1993">
      <c r="A1993" t="inlineStr">
        <is>
          <t>EMD-52709</t>
        </is>
      </c>
      <c r="B1993" t="inlineStr">
        <is>
          <t>non-amyloid</t>
        </is>
      </c>
      <c r="C1993" t="n">
        <v>3.11</v>
      </c>
      <c r="D1993" t="n">
        <v>28.281</v>
      </c>
      <c r="E1993" t="n">
        <v>17.969</v>
      </c>
      <c r="F1993" t="inlineStr">
        <is>
          <t>C1</t>
        </is>
      </c>
      <c r="G1993" t="inlineStr">
        <is>
          <t>28.281</t>
        </is>
      </c>
      <c r="H1993" t="n">
        <v>17.969</v>
      </c>
      <c r="I1993" t="inlineStr">
        <is>
          <t>C1</t>
        </is>
      </c>
      <c r="J1993" t="n">
        <v>0</v>
      </c>
      <c r="K1993" t="inlineStr"/>
      <c r="L1993" t="n">
        <v>0.8959418318905263</v>
      </c>
      <c r="M1993" t="n">
        <v>0.8959418318905263</v>
      </c>
      <c r="N1993" t="inlineStr">
        <is>
          <t>Yes</t>
        </is>
      </c>
      <c r="O1993" t="inlineStr">
        <is>
          <t>equal</t>
        </is>
      </c>
      <c r="P1993" t="inlineStr">
        <is>
          <t>deposited</t>
        </is>
      </c>
      <c r="Q1993" t="inlineStr"/>
      <c r="R1993" t="inlineStr"/>
      <c r="S1993">
        <f>HYPERLINK("https://helical-indexing-hi3d.streamlit.app/?emd_id=emd-52709&amp;rise=28.281&amp;twist=17.969&amp;csym=1&amp;rise2=28.281&amp;twist2=17.969&amp;csym2=1", "Link")</f>
        <v/>
      </c>
    </row>
    <row r="1994">
      <c r="A1994" t="inlineStr">
        <is>
          <t>EMD-44181</t>
        </is>
      </c>
      <c r="B1994" t="inlineStr">
        <is>
          <t>non-amyloid</t>
        </is>
      </c>
      <c r="C1994" t="n">
        <v>3.6</v>
      </c>
      <c r="D1994" t="n">
        <v>9.659000000000001</v>
      </c>
      <c r="E1994" t="n">
        <v>1.604</v>
      </c>
      <c r="F1994" t="inlineStr">
        <is>
          <t>C1</t>
        </is>
      </c>
      <c r="G1994" t="inlineStr">
        <is>
          <t>9.659</t>
        </is>
      </c>
      <c r="H1994" t="n">
        <v>1.604</v>
      </c>
      <c r="I1994" t="inlineStr">
        <is>
          <t>C1</t>
        </is>
      </c>
      <c r="J1994" t="n">
        <v>0</v>
      </c>
      <c r="K1994" t="inlineStr"/>
      <c r="L1994" t="n">
        <v>0.952770445</v>
      </c>
      <c r="M1994" t="n">
        <v>0.952770445</v>
      </c>
      <c r="N1994" t="inlineStr">
        <is>
          <t>Yes</t>
        </is>
      </c>
      <c r="O1994" t="inlineStr">
        <is>
          <t>equal</t>
        </is>
      </c>
      <c r="P1994" t="inlineStr">
        <is>
          <t>deposited</t>
        </is>
      </c>
      <c r="Q1994" t="inlineStr"/>
      <c r="R1994" t="inlineStr"/>
      <c r="S1994">
        <f>HYPERLINK("https://helical-indexing-hi3d.streamlit.app/?emd_id=emd-44181&amp;rise=9.659&amp;twist=1.604&amp;csym=1&amp;rise2=9.659&amp;twist2=1.604&amp;csym2=1", "Link")</f>
        <v/>
      </c>
    </row>
    <row r="1995">
      <c r="A1995" t="inlineStr">
        <is>
          <t>EMD-44186</t>
        </is>
      </c>
      <c r="B1995" t="inlineStr">
        <is>
          <t>amyloid</t>
        </is>
      </c>
      <c r="C1995" t="n">
        <v>3.5</v>
      </c>
      <c r="D1995" t="n">
        <v>2.41</v>
      </c>
      <c r="E1995" t="n">
        <v>179.46</v>
      </c>
      <c r="F1995" t="inlineStr">
        <is>
          <t>C1</t>
        </is>
      </c>
      <c r="G1995" t="inlineStr">
        <is>
          <t>2.41</t>
        </is>
      </c>
      <c r="H1995" t="n">
        <v>179.46</v>
      </c>
      <c r="I1995" t="inlineStr">
        <is>
          <t>C1</t>
        </is>
      </c>
      <c r="J1995" t="n">
        <v>0</v>
      </c>
      <c r="K1995" t="inlineStr"/>
      <c r="L1995" t="n">
        <v>0.9651458550000001</v>
      </c>
      <c r="M1995" t="n">
        <v>0.9651458550000001</v>
      </c>
      <c r="N1995" t="inlineStr">
        <is>
          <t>Yes</t>
        </is>
      </c>
      <c r="O1995" t="inlineStr">
        <is>
          <t>equal</t>
        </is>
      </c>
      <c r="P1995" t="inlineStr">
        <is>
          <t>deposited</t>
        </is>
      </c>
      <c r="Q1995" t="inlineStr"/>
      <c r="R1995" t="inlineStr"/>
      <c r="S1995">
        <f>HYPERLINK("https://helical-indexing-hi3d.streamlit.app/?emd_id=emd-44186&amp;rise=2.41&amp;twist=179.46&amp;csym=1&amp;rise2=2.41&amp;twist2=179.46&amp;csym2=1", "Link")</f>
        <v/>
      </c>
    </row>
    <row r="1996">
      <c r="A1996" t="inlineStr">
        <is>
          <t>EMD-44185</t>
        </is>
      </c>
      <c r="B1996" t="inlineStr">
        <is>
          <t>amyloid</t>
        </is>
      </c>
      <c r="C1996" t="n">
        <v>3.1</v>
      </c>
      <c r="D1996" t="n">
        <v>2.41</v>
      </c>
      <c r="E1996" t="n">
        <v>179.45</v>
      </c>
      <c r="F1996" t="inlineStr">
        <is>
          <t>C1</t>
        </is>
      </c>
      <c r="G1996" t="inlineStr">
        <is>
          <t>2.41</t>
        </is>
      </c>
      <c r="H1996" t="n">
        <v>179.45</v>
      </c>
      <c r="I1996" t="inlineStr">
        <is>
          <t>C1</t>
        </is>
      </c>
      <c r="J1996" t="n">
        <v>0</v>
      </c>
      <c r="K1996" t="inlineStr"/>
      <c r="L1996" t="n">
        <v>0.967213688885406</v>
      </c>
      <c r="M1996" t="n">
        <v>0.967213688885406</v>
      </c>
      <c r="N1996" t="inlineStr">
        <is>
          <t>Yes</t>
        </is>
      </c>
      <c r="O1996" t="inlineStr">
        <is>
          <t>equal</t>
        </is>
      </c>
      <c r="P1996" t="inlineStr">
        <is>
          <t>deposited</t>
        </is>
      </c>
      <c r="Q1996" t="inlineStr"/>
      <c r="R1996" t="inlineStr"/>
      <c r="S1996">
        <f>HYPERLINK("https://helical-indexing-hi3d.streamlit.app/?emd_id=emd-44185&amp;rise=2.41&amp;twist=179.45&amp;csym=1&amp;rise2=2.41&amp;twist2=179.45&amp;csym2=1", "Link")</f>
        <v/>
      </c>
    </row>
    <row r="1997">
      <c r="A1997" t="inlineStr">
        <is>
          <t>EMD-52650</t>
        </is>
      </c>
      <c r="B1997" t="inlineStr">
        <is>
          <t>non-amyloid</t>
        </is>
      </c>
      <c r="C1997" t="n">
        <v>4.1</v>
      </c>
      <c r="D1997" t="n">
        <v>95.25</v>
      </c>
      <c r="E1997" t="n">
        <v>67.5</v>
      </c>
      <c r="F1997" t="inlineStr">
        <is>
          <t>C3</t>
        </is>
      </c>
      <c r="G1997" t="inlineStr">
        <is>
          <t>95.25</t>
        </is>
      </c>
      <c r="H1997" t="n">
        <v>67.5</v>
      </c>
      <c r="I1997" t="inlineStr">
        <is>
          <t>C3</t>
        </is>
      </c>
      <c r="J1997" t="n">
        <v>0</v>
      </c>
      <c r="K1997" t="inlineStr"/>
      <c r="L1997" t="n">
        <v>0.3883749673886149</v>
      </c>
      <c r="M1997" t="n">
        <v>0.3883749673886149</v>
      </c>
      <c r="N1997" t="inlineStr">
        <is>
          <t>Yes</t>
        </is>
      </c>
      <c r="O1997" t="inlineStr">
        <is>
          <t>equal</t>
        </is>
      </c>
      <c r="P1997" t="inlineStr">
        <is>
          <t>deposited</t>
        </is>
      </c>
      <c r="Q1997" t="inlineStr"/>
      <c r="R1997" t="inlineStr"/>
      <c r="S1997">
        <f>HYPERLINK("https://helical-indexing-hi3d.streamlit.app/?emd_id=emd-52650&amp;rise=95.25&amp;twist=67.5&amp;csym=3&amp;rise2=95.25&amp;twist2=67.5&amp;csym2=3", "Link")</f>
        <v/>
      </c>
    </row>
    <row r="1998">
      <c r="A1998" t="inlineStr">
        <is>
          <t>EMD-52523</t>
        </is>
      </c>
      <c r="B1998" t="inlineStr">
        <is>
          <t>non-amyloid</t>
        </is>
      </c>
      <c r="C1998" t="n">
        <v>3.23</v>
      </c>
      <c r="D1998" t="n">
        <v>33.54</v>
      </c>
      <c r="E1998" t="n">
        <v>42.73</v>
      </c>
      <c r="F1998" t="inlineStr">
        <is>
          <t>C3</t>
        </is>
      </c>
      <c r="G1998" t="inlineStr">
        <is>
          <t>33.54</t>
        </is>
      </c>
      <c r="H1998" t="n">
        <v>42.73</v>
      </c>
      <c r="I1998" t="inlineStr">
        <is>
          <t>C3</t>
        </is>
      </c>
      <c r="J1998" t="n">
        <v>0</v>
      </c>
      <c r="K1998" t="inlineStr"/>
      <c r="L1998" t="n">
        <v>0.9695184088060504</v>
      </c>
      <c r="M1998" t="n">
        <v>0.9695184088060504</v>
      </c>
      <c r="N1998" t="inlineStr">
        <is>
          <t>Yes</t>
        </is>
      </c>
      <c r="O1998" t="inlineStr">
        <is>
          <t>equal</t>
        </is>
      </c>
      <c r="P1998" t="inlineStr">
        <is>
          <t>deposited</t>
        </is>
      </c>
      <c r="Q1998" t="inlineStr"/>
      <c r="R1998" t="inlineStr"/>
      <c r="S1998">
        <f>HYPERLINK("https://helical-indexing-hi3d.streamlit.app/?emd_id=emd-52523&amp;rise=33.54&amp;twist=42.73&amp;csym=3&amp;rise2=33.54&amp;twist2=42.73&amp;csym2=3", "Link")</f>
        <v/>
      </c>
    </row>
    <row r="1999">
      <c r="A1999" t="inlineStr">
        <is>
          <t>EMD-51003</t>
        </is>
      </c>
      <c r="B1999" t="inlineStr">
        <is>
          <t>non-amyloid</t>
        </is>
      </c>
      <c r="C1999" t="n">
        <v>3.09</v>
      </c>
      <c r="D1999" t="n">
        <v>64.40000000000001</v>
      </c>
      <c r="E1999" t="n">
        <v>81.59999999999999</v>
      </c>
      <c r="F1999" t="inlineStr">
        <is>
          <t>C1</t>
        </is>
      </c>
      <c r="G1999" t="inlineStr">
        <is>
          <t>21.460105250262224</t>
        </is>
      </c>
      <c r="H1999" t="n">
        <v>-92.78289897000001</v>
      </c>
      <c r="I1999" t="inlineStr">
        <is>
          <t>C1</t>
        </is>
      </c>
      <c r="J1999" t="n">
        <v>53.83753656376893</v>
      </c>
      <c r="K1999" t="inlineStr"/>
      <c r="L1999" t="n">
        <v>0.7854865480800424</v>
      </c>
      <c r="M1999" t="n">
        <v>0.8942764137783724</v>
      </c>
      <c r="N1999" t="inlineStr">
        <is>
          <t>Yes</t>
        </is>
      </c>
      <c r="O1999" t="inlineStr">
        <is>
          <t>improve</t>
        </is>
      </c>
      <c r="P1999" t="inlineStr">
        <is>
          <t>different</t>
        </is>
      </c>
      <c r="Q1999" t="inlineStr">
        <is>
          <t>partial symmetry</t>
        </is>
      </c>
      <c r="R1999" t="inlineStr"/>
      <c r="S1999">
        <f>HYPERLINK("https://helical-indexing-hi3d.streamlit.app/?emd_id=emd-51003&amp;rise=21.460105250262224&amp;twist=-92.78289897&amp;csym=1&amp;rise2=64.4&amp;twist2=81.6&amp;csym2=1", "Link")</f>
        <v/>
      </c>
    </row>
    <row r="2000">
      <c r="A2000" t="inlineStr">
        <is>
          <t>EMD-51726</t>
        </is>
      </c>
      <c r="B2000" t="inlineStr">
        <is>
          <t>amyloid</t>
        </is>
      </c>
      <c r="C2000" t="n">
        <v>3.3</v>
      </c>
      <c r="D2000" t="n">
        <v>2.41</v>
      </c>
      <c r="E2000" t="n">
        <v>178.24</v>
      </c>
      <c r="F2000" t="inlineStr">
        <is>
          <t>C1</t>
        </is>
      </c>
      <c r="G2000" t="inlineStr">
        <is>
          <t>2.41</t>
        </is>
      </c>
      <c r="H2000" t="n">
        <v>178.24</v>
      </c>
      <c r="I2000" t="inlineStr">
        <is>
          <t>C1</t>
        </is>
      </c>
      <c r="J2000" t="n">
        <v>0</v>
      </c>
      <c r="K2000" t="inlineStr"/>
      <c r="L2000" t="n">
        <v>0.9505489919032514</v>
      </c>
      <c r="M2000" t="n">
        <v>0.9505489919032514</v>
      </c>
      <c r="N2000" t="inlineStr">
        <is>
          <t>Yes</t>
        </is>
      </c>
      <c r="O2000" t="inlineStr">
        <is>
          <t>equal</t>
        </is>
      </c>
      <c r="P2000" t="inlineStr">
        <is>
          <t>deposited</t>
        </is>
      </c>
      <c r="Q2000" t="inlineStr"/>
      <c r="R2000" t="inlineStr"/>
      <c r="S2000">
        <f>HYPERLINK("https://helical-indexing-hi3d.streamlit.app/?emd_id=emd-51726&amp;rise=2.41&amp;twist=178.24&amp;csym=1&amp;rise2=2.41&amp;twist2=178.24&amp;csym2=1", "Link")</f>
        <v/>
      </c>
    </row>
    <row r="2001">
      <c r="A2001" t="inlineStr">
        <is>
          <t>EMD-44513</t>
        </is>
      </c>
      <c r="B2001" t="inlineStr">
        <is>
          <t>non-amyloid</t>
        </is>
      </c>
      <c r="C2001" t="n">
        <v>3.05</v>
      </c>
      <c r="D2001" t="n">
        <v>21.3</v>
      </c>
      <c r="E2001" t="n">
        <v>-86.2</v>
      </c>
      <c r="F2001" t="inlineStr">
        <is>
          <t>C2</t>
        </is>
      </c>
      <c r="G2001" t="inlineStr">
        <is>
          <t>21.3</t>
        </is>
      </c>
      <c r="H2001" t="n">
        <v>-86.2</v>
      </c>
      <c r="I2001" t="inlineStr">
        <is>
          <t>C1</t>
        </is>
      </c>
      <c r="J2001" t="n">
        <v>0</v>
      </c>
      <c r="K2001" t="inlineStr"/>
      <c r="L2001" t="n">
        <v>0.963230344</v>
      </c>
      <c r="M2001" t="n">
        <v>0.963230344</v>
      </c>
      <c r="N2001" t="inlineStr">
        <is>
          <t>Yes</t>
        </is>
      </c>
      <c r="O2001" t="inlineStr">
        <is>
          <t>equal</t>
        </is>
      </c>
      <c r="P2001" t="inlineStr">
        <is>
          <t>deposited</t>
        </is>
      </c>
      <c r="Q2001" t="inlineStr"/>
      <c r="R2001" t="inlineStr"/>
      <c r="S2001">
        <f>HYPERLINK("https://helical-indexing-hi3d.streamlit.app/?emd_id=emd-44513&amp;rise=21.3&amp;twist=-86.2&amp;csym=1&amp;rise2=21.3&amp;twist2=-86.2&amp;csym2=2", "Link")</f>
        <v/>
      </c>
    </row>
    <row r="2002">
      <c r="A2002" t="inlineStr">
        <is>
          <t>EMD-44514</t>
        </is>
      </c>
      <c r="B2002" t="inlineStr">
        <is>
          <t>non-amyloid</t>
        </is>
      </c>
      <c r="C2002" t="n">
        <v>3.34</v>
      </c>
      <c r="D2002" t="n">
        <v>20.9</v>
      </c>
      <c r="E2002" t="n">
        <v>-86.2</v>
      </c>
      <c r="F2002" t="inlineStr">
        <is>
          <t>C2</t>
        </is>
      </c>
      <c r="G2002" t="inlineStr">
        <is>
          <t>20.9</t>
        </is>
      </c>
      <c r="H2002" t="n">
        <v>-86.2</v>
      </c>
      <c r="I2002" t="inlineStr">
        <is>
          <t>C1</t>
        </is>
      </c>
      <c r="J2002" t="n">
        <v>0</v>
      </c>
      <c r="K2002" t="inlineStr"/>
      <c r="L2002" t="n">
        <v>0.9642646872683988</v>
      </c>
      <c r="M2002" t="n">
        <v>0.9642646872683988</v>
      </c>
      <c r="N2002" t="inlineStr">
        <is>
          <t>Yes</t>
        </is>
      </c>
      <c r="O2002" t="inlineStr">
        <is>
          <t>equal</t>
        </is>
      </c>
      <c r="P2002" t="inlineStr">
        <is>
          <t>deposited</t>
        </is>
      </c>
      <c r="Q2002" t="inlineStr"/>
      <c r="R2002" t="inlineStr"/>
      <c r="S2002">
        <f>HYPERLINK("https://helical-indexing-hi3d.streamlit.app/?emd_id=emd-44514&amp;rise=20.9&amp;twist=-86.2&amp;csym=1&amp;rise2=20.9&amp;twist2=-86.2&amp;csym2=2", "Link")</f>
        <v/>
      </c>
    </row>
    <row r="2003">
      <c r="A2003" t="inlineStr">
        <is>
          <t>EMD-51001</t>
        </is>
      </c>
      <c r="B2003" t="inlineStr">
        <is>
          <t>non-amyloid</t>
        </is>
      </c>
      <c r="C2003" t="n">
        <v>3.1</v>
      </c>
      <c r="D2003" t="n">
        <v>24.5</v>
      </c>
      <c r="E2003" t="n">
        <v>57</v>
      </c>
      <c r="F2003" t="inlineStr">
        <is>
          <t>C1</t>
        </is>
      </c>
      <c r="G2003" t="inlineStr">
        <is>
          <t>24.5</t>
        </is>
      </c>
      <c r="H2003" t="n">
        <v>57</v>
      </c>
      <c r="I2003" t="inlineStr">
        <is>
          <t>C1</t>
        </is>
      </c>
      <c r="J2003" t="n">
        <v>0</v>
      </c>
      <c r="K2003" t="inlineStr"/>
      <c r="L2003" t="n">
        <v>0.9605107188492764</v>
      </c>
      <c r="M2003" t="n">
        <v>0.9605107188492764</v>
      </c>
      <c r="N2003" t="inlineStr">
        <is>
          <t>Yes</t>
        </is>
      </c>
      <c r="O2003" t="inlineStr">
        <is>
          <t>equal</t>
        </is>
      </c>
      <c r="P2003" t="inlineStr">
        <is>
          <t>deposited</t>
        </is>
      </c>
      <c r="Q2003" t="inlineStr"/>
      <c r="R2003" t="inlineStr"/>
      <c r="S2003">
        <f>HYPERLINK("https://helical-indexing-hi3d.streamlit.app/?emd_id=emd-51001&amp;rise=24.5&amp;twist=57.0&amp;csym=1&amp;rise2=24.5&amp;twist2=57.0&amp;csym2=1", "Link")</f>
        <v/>
      </c>
    </row>
    <row r="2004">
      <c r="A2004" t="inlineStr">
        <is>
          <t>EMD-47087</t>
        </is>
      </c>
      <c r="B2004" t="inlineStr">
        <is>
          <t>non-amyloid</t>
        </is>
      </c>
      <c r="C2004" t="n">
        <v>2.8</v>
      </c>
      <c r="D2004" t="n">
        <v>0.99</v>
      </c>
      <c r="E2004" t="n">
        <v>144.37</v>
      </c>
      <c r="F2004" t="inlineStr">
        <is>
          <t>C1</t>
        </is>
      </c>
      <c r="G2004" t="inlineStr">
        <is>
          <t>0.99</t>
        </is>
      </c>
      <c r="H2004" t="n">
        <v>144.37</v>
      </c>
      <c r="I2004" t="inlineStr">
        <is>
          <t>C1</t>
        </is>
      </c>
      <c r="J2004" t="n">
        <v>0</v>
      </c>
      <c r="K2004" t="inlineStr"/>
      <c r="L2004" t="n">
        <v>0.9068564345684538</v>
      </c>
      <c r="M2004" t="n">
        <v>0.9068564345684538</v>
      </c>
      <c r="N2004" t="inlineStr">
        <is>
          <t>Yes</t>
        </is>
      </c>
      <c r="O2004" t="inlineStr">
        <is>
          <t>equal</t>
        </is>
      </c>
      <c r="P2004" t="inlineStr">
        <is>
          <t>deposited</t>
        </is>
      </c>
      <c r="Q2004" t="inlineStr"/>
      <c r="R2004" t="inlineStr"/>
      <c r="S2004">
        <f>HYPERLINK("https://helical-indexing-hi3d.streamlit.app/?emd_id=emd-47087&amp;rise=0.99&amp;twist=144.37&amp;csym=1&amp;rise2=0.99&amp;twist2=144.37&amp;csym2=1", "Link")</f>
        <v/>
      </c>
    </row>
    <row r="2005">
      <c r="A2005" t="inlineStr">
        <is>
          <t>EMD-47095</t>
        </is>
      </c>
      <c r="B2005" t="inlineStr">
        <is>
          <t>non-amyloid</t>
        </is>
      </c>
      <c r="C2005" t="n">
        <v>2.8</v>
      </c>
      <c r="D2005" t="n">
        <v>0.83</v>
      </c>
      <c r="E2005" t="n">
        <v>-59.78</v>
      </c>
      <c r="F2005" t="inlineStr">
        <is>
          <t>C1</t>
        </is>
      </c>
      <c r="G2005" t="inlineStr">
        <is>
          <t>0.83</t>
        </is>
      </c>
      <c r="H2005" t="n">
        <v>-59.78</v>
      </c>
      <c r="I2005" t="inlineStr">
        <is>
          <t>C1</t>
        </is>
      </c>
      <c r="J2005" t="n">
        <v>0</v>
      </c>
      <c r="K2005" t="inlineStr"/>
      <c r="L2005" t="n">
        <v>0.9524768054394396</v>
      </c>
      <c r="M2005" t="n">
        <v>0.9524768054394396</v>
      </c>
      <c r="N2005" t="inlineStr">
        <is>
          <t>Yes</t>
        </is>
      </c>
      <c r="O2005" t="inlineStr">
        <is>
          <t>equal</t>
        </is>
      </c>
      <c r="P2005" t="inlineStr">
        <is>
          <t>deposited</t>
        </is>
      </c>
      <c r="Q2005" t="inlineStr"/>
      <c r="R2005" t="inlineStr"/>
      <c r="S2005">
        <f>HYPERLINK("https://helical-indexing-hi3d.streamlit.app/?emd_id=emd-47095&amp;rise=0.83&amp;twist=-59.78&amp;csym=1&amp;rise2=0.83&amp;twist2=-59.78&amp;csym2=1", "Link")</f>
        <v/>
      </c>
    </row>
    <row r="2006">
      <c r="A2006" t="inlineStr">
        <is>
          <t>EMD-50111</t>
        </is>
      </c>
      <c r="B2006" t="inlineStr">
        <is>
          <t>non-amyloid</t>
        </is>
      </c>
      <c r="C2006" t="n">
        <v>3.35</v>
      </c>
      <c r="D2006" t="n">
        <v>44.84</v>
      </c>
      <c r="E2006" t="n">
        <v>91.63</v>
      </c>
      <c r="F2006" t="inlineStr">
        <is>
          <t>C1</t>
        </is>
      </c>
      <c r="G2006" t="inlineStr">
        <is>
          <t>44.84</t>
        </is>
      </c>
      <c r="H2006" t="n">
        <v>91.63</v>
      </c>
      <c r="I2006" t="inlineStr">
        <is>
          <t>C1</t>
        </is>
      </c>
      <c r="J2006" t="n">
        <v>0</v>
      </c>
      <c r="K2006" t="inlineStr"/>
      <c r="L2006" t="n">
        <v>0.6707078138342287</v>
      </c>
      <c r="M2006" t="n">
        <v>0.6707078138342287</v>
      </c>
      <c r="N2006" t="inlineStr">
        <is>
          <t>Yes</t>
        </is>
      </c>
      <c r="O2006" t="inlineStr">
        <is>
          <t>equal</t>
        </is>
      </c>
      <c r="P2006" t="inlineStr">
        <is>
          <t>deposited</t>
        </is>
      </c>
      <c r="Q2006" t="inlineStr"/>
      <c r="R2006" t="inlineStr"/>
      <c r="S2006">
        <f>HYPERLINK("https://helical-indexing-hi3d.streamlit.app/?emd_id=emd-50111&amp;rise=44.84&amp;twist=91.63&amp;csym=1&amp;rise2=44.84&amp;twist2=91.63&amp;csym2=1", "Link")</f>
        <v/>
      </c>
    </row>
    <row r="2007">
      <c r="A2007" t="inlineStr">
        <is>
          <t>EMD-50136</t>
        </is>
      </c>
      <c r="B2007" t="inlineStr">
        <is>
          <t>non-amyloid</t>
        </is>
      </c>
      <c r="C2007" t="n">
        <v>3.67</v>
      </c>
      <c r="D2007" t="n">
        <v>43.86</v>
      </c>
      <c r="E2007" t="n">
        <v>80.70999999999999</v>
      </c>
      <c r="F2007" t="inlineStr">
        <is>
          <t>C1</t>
        </is>
      </c>
      <c r="G2007" t="inlineStr">
        <is>
          <t>43.86</t>
        </is>
      </c>
      <c r="H2007" t="n">
        <v>80.70999999999999</v>
      </c>
      <c r="I2007" t="inlineStr">
        <is>
          <t>C1</t>
        </is>
      </c>
      <c r="J2007" t="n">
        <v>0</v>
      </c>
      <c r="K2007" t="inlineStr"/>
      <c r="L2007" t="n">
        <v>0.6495434834518096</v>
      </c>
      <c r="M2007" t="n">
        <v>0.6495434834518096</v>
      </c>
      <c r="N2007" t="inlineStr">
        <is>
          <t>Yes</t>
        </is>
      </c>
      <c r="O2007" t="inlineStr">
        <is>
          <t>equal</t>
        </is>
      </c>
      <c r="P2007" t="inlineStr">
        <is>
          <t>deposited</t>
        </is>
      </c>
      <c r="Q2007" t="inlineStr"/>
      <c r="R2007" t="inlineStr"/>
      <c r="S2007">
        <f>HYPERLINK("https://helical-indexing-hi3d.streamlit.app/?emd_id=emd-50136&amp;rise=43.86&amp;twist=80.71&amp;csym=1&amp;rise2=43.86&amp;twist2=80.71&amp;csym2=1", "Link")</f>
        <v/>
      </c>
    </row>
    <row r="2008">
      <c r="A2008" t="inlineStr">
        <is>
          <t>EMD-43763</t>
        </is>
      </c>
      <c r="B2008" t="inlineStr">
        <is>
          <t>non-amyloid</t>
        </is>
      </c>
      <c r="C2008" t="n">
        <v>2.27</v>
      </c>
      <c r="D2008" t="n">
        <v>27.51</v>
      </c>
      <c r="E2008" t="n">
        <v>-166.47</v>
      </c>
      <c r="F2008" t="inlineStr">
        <is>
          <t>C1</t>
        </is>
      </c>
      <c r="G2008" t="inlineStr">
        <is>
          <t>27.51</t>
        </is>
      </c>
      <c r="H2008" t="n">
        <v>-166.47</v>
      </c>
      <c r="I2008" t="inlineStr">
        <is>
          <t>C1</t>
        </is>
      </c>
      <c r="J2008" t="n">
        <v>0</v>
      </c>
      <c r="K2008" t="inlineStr"/>
      <c r="L2008" t="n">
        <v>0.8596343336408511</v>
      </c>
      <c r="M2008" t="n">
        <v>0.8596343336408511</v>
      </c>
      <c r="N2008" t="inlineStr">
        <is>
          <t>Yes</t>
        </is>
      </c>
      <c r="O2008" t="inlineStr">
        <is>
          <t>equal</t>
        </is>
      </c>
      <c r="P2008" t="inlineStr">
        <is>
          <t>deposited</t>
        </is>
      </c>
      <c r="Q2008" t="inlineStr"/>
      <c r="R2008" t="inlineStr"/>
      <c r="S2008">
        <f>HYPERLINK("https://helical-indexing-hi3d.streamlit.app/?emd_id=emd-43763&amp;rise=27.51&amp;twist=-166.47&amp;csym=1&amp;rise2=27.51&amp;twist2=-166.47&amp;csym2=1", "Link")</f>
        <v/>
      </c>
    </row>
    <row r="2009">
      <c r="A2009" t="inlineStr">
        <is>
          <t>EMD-50150</t>
        </is>
      </c>
      <c r="B2009" t="inlineStr">
        <is>
          <t>non-amyloid</t>
        </is>
      </c>
      <c r="C2009" t="n">
        <v>3.86</v>
      </c>
      <c r="D2009" t="n">
        <v>42.78</v>
      </c>
      <c r="E2009" t="n">
        <v>73.94</v>
      </c>
      <c r="F2009" t="inlineStr">
        <is>
          <t>C1</t>
        </is>
      </c>
      <c r="G2009" t="inlineStr">
        <is>
          <t>42.78</t>
        </is>
      </c>
      <c r="H2009" t="n">
        <v>73.94</v>
      </c>
      <c r="I2009" t="inlineStr">
        <is>
          <t>C1</t>
        </is>
      </c>
      <c r="J2009" t="n">
        <v>0</v>
      </c>
      <c r="K2009" t="inlineStr"/>
      <c r="L2009" t="n">
        <v>0.6552391449132833</v>
      </c>
      <c r="M2009" t="n">
        <v>0.6552391449132833</v>
      </c>
      <c r="N2009" t="inlineStr">
        <is>
          <t>Yes</t>
        </is>
      </c>
      <c r="O2009" t="inlineStr">
        <is>
          <t>equal</t>
        </is>
      </c>
      <c r="P2009" t="inlineStr">
        <is>
          <t>deposited</t>
        </is>
      </c>
      <c r="Q2009" t="inlineStr"/>
      <c r="R2009" t="inlineStr"/>
      <c r="S2009">
        <f>HYPERLINK("https://helical-indexing-hi3d.streamlit.app/?emd_id=emd-50150&amp;rise=42.78&amp;twist=73.94&amp;csym=1&amp;rise2=42.78&amp;twist2=73.94&amp;csym2=1", "Link")</f>
        <v/>
      </c>
    </row>
    <row r="2010">
      <c r="A2010" t="inlineStr">
        <is>
          <t>EMD-50137</t>
        </is>
      </c>
      <c r="B2010" t="inlineStr">
        <is>
          <t>non-amyloid</t>
        </is>
      </c>
      <c r="C2010" t="n">
        <v>4.13</v>
      </c>
      <c r="D2010" t="n">
        <v>44.5</v>
      </c>
      <c r="E2010" t="n">
        <v>88.2</v>
      </c>
      <c r="F2010" t="inlineStr">
        <is>
          <t>C1</t>
        </is>
      </c>
      <c r="G2010" t="inlineStr">
        <is>
          <t>44.5</t>
        </is>
      </c>
      <c r="H2010" t="n">
        <v>88.2</v>
      </c>
      <c r="I2010" t="inlineStr">
        <is>
          <t>C1</t>
        </is>
      </c>
      <c r="J2010" t="n">
        <v>0</v>
      </c>
      <c r="K2010" t="inlineStr"/>
      <c r="L2010" t="n">
        <v>0.6412849532565789</v>
      </c>
      <c r="M2010" t="n">
        <v>0.6412849532565789</v>
      </c>
      <c r="N2010" t="inlineStr">
        <is>
          <t>Yes</t>
        </is>
      </c>
      <c r="O2010" t="inlineStr">
        <is>
          <t>equal</t>
        </is>
      </c>
      <c r="P2010" t="inlineStr">
        <is>
          <t>deposited</t>
        </is>
      </c>
      <c r="Q2010" t="inlineStr"/>
      <c r="R2010" t="inlineStr"/>
      <c r="S2010">
        <f>HYPERLINK("https://helical-indexing-hi3d.streamlit.app/?emd_id=emd-50137&amp;rise=44.5&amp;twist=88.2&amp;csym=1&amp;rise2=44.5&amp;twist2=88.2&amp;csym2=1", "Link")</f>
        <v/>
      </c>
    </row>
    <row r="2011">
      <c r="A2011" t="inlineStr">
        <is>
          <t>EMD-50165</t>
        </is>
      </c>
      <c r="B2011" t="inlineStr">
        <is>
          <t>non-amyloid</t>
        </is>
      </c>
      <c r="C2011" t="n">
        <v>4.21</v>
      </c>
      <c r="D2011" t="n">
        <v>43.92</v>
      </c>
      <c r="E2011" t="n">
        <v>84.15000000000001</v>
      </c>
      <c r="F2011" t="inlineStr">
        <is>
          <t>C1</t>
        </is>
      </c>
      <c r="G2011" t="inlineStr">
        <is>
          <t>43.92</t>
        </is>
      </c>
      <c r="H2011" t="n">
        <v>84.15000000000001</v>
      </c>
      <c r="I2011" t="inlineStr">
        <is>
          <t>C1</t>
        </is>
      </c>
      <c r="J2011" t="n">
        <v>0</v>
      </c>
      <c r="K2011" t="inlineStr"/>
      <c r="L2011" t="n">
        <v>0.5984927278815827</v>
      </c>
      <c r="M2011" t="n">
        <v>0.5984927278815827</v>
      </c>
      <c r="N2011" t="inlineStr">
        <is>
          <t>Yes</t>
        </is>
      </c>
      <c r="O2011" t="inlineStr">
        <is>
          <t>equal</t>
        </is>
      </c>
      <c r="P2011" t="inlineStr">
        <is>
          <t>deposited</t>
        </is>
      </c>
      <c r="Q2011" t="inlineStr"/>
      <c r="R2011" t="inlineStr"/>
      <c r="S2011">
        <f>HYPERLINK("https://helical-indexing-hi3d.streamlit.app/?emd_id=emd-50165&amp;rise=43.92&amp;twist=84.15&amp;csym=1&amp;rise2=43.92&amp;twist2=84.15&amp;csym2=1", "Link")</f>
        <v/>
      </c>
    </row>
    <row r="2012">
      <c r="A2012" t="inlineStr">
        <is>
          <t>EMD-50175</t>
        </is>
      </c>
      <c r="B2012" t="inlineStr">
        <is>
          <t>non-amyloid</t>
        </is>
      </c>
      <c r="C2012" t="n">
        <v>3.97</v>
      </c>
      <c r="D2012" t="n">
        <v>44.58</v>
      </c>
      <c r="E2012" t="n">
        <v>89.44</v>
      </c>
      <c r="F2012" t="inlineStr">
        <is>
          <t>C1</t>
        </is>
      </c>
      <c r="G2012" t="inlineStr">
        <is>
          <t>44.58</t>
        </is>
      </c>
      <c r="H2012" t="n">
        <v>89.44</v>
      </c>
      <c r="I2012" t="inlineStr">
        <is>
          <t>C1</t>
        </is>
      </c>
      <c r="J2012" t="n">
        <v>0</v>
      </c>
      <c r="K2012" t="inlineStr"/>
      <c r="L2012" t="n">
        <v>0.5781264929953828</v>
      </c>
      <c r="M2012" t="n">
        <v>0.5781264929953828</v>
      </c>
      <c r="N2012" t="inlineStr">
        <is>
          <t>Yes</t>
        </is>
      </c>
      <c r="O2012" t="inlineStr">
        <is>
          <t>equal</t>
        </is>
      </c>
      <c r="P2012" t="inlineStr">
        <is>
          <t>deposited</t>
        </is>
      </c>
      <c r="Q2012" t="inlineStr"/>
      <c r="R2012" t="inlineStr"/>
      <c r="S2012">
        <f>HYPERLINK("https://helical-indexing-hi3d.streamlit.app/?emd_id=emd-50175&amp;rise=44.58&amp;twist=89.44&amp;csym=1&amp;rise2=44.58&amp;twist2=89.44&amp;csym2=1", "Link")</f>
        <v/>
      </c>
    </row>
    <row r="2013">
      <c r="A2013" t="inlineStr">
        <is>
          <t>EMD-38733</t>
        </is>
      </c>
      <c r="B2013" t="inlineStr">
        <is>
          <t>amyloid</t>
        </is>
      </c>
      <c r="C2013" t="n">
        <v>3.1</v>
      </c>
      <c r="D2013" t="n">
        <v>4.82</v>
      </c>
      <c r="E2013" t="n">
        <v>-0.746</v>
      </c>
      <c r="F2013" t="inlineStr">
        <is>
          <t>C1</t>
        </is>
      </c>
      <c r="G2013" t="inlineStr">
        <is>
          <t>2.3933333273467117</t>
        </is>
      </c>
      <c r="H2013" t="n">
        <v>179.6312954080474</v>
      </c>
      <c r="I2013" t="inlineStr">
        <is>
          <t>C1</t>
        </is>
      </c>
      <c r="J2013" t="n">
        <v>75.31599550999999</v>
      </c>
      <c r="K2013" t="inlineStr"/>
      <c r="L2013" t="n">
        <v>0.9546272142458386</v>
      </c>
      <c r="M2013" t="n">
        <v>0.8238238620058927</v>
      </c>
      <c r="N2013" t="inlineStr">
        <is>
          <t>Yes</t>
        </is>
      </c>
      <c r="O2013" t="inlineStr">
        <is>
          <t>equal</t>
        </is>
      </c>
      <c r="P2013" t="inlineStr">
        <is>
          <t>different</t>
        </is>
      </c>
      <c r="Q2013" t="inlineStr">
        <is>
          <t>partial symmetry</t>
        </is>
      </c>
      <c r="R2013" t="inlineStr"/>
      <c r="S2013">
        <f>HYPERLINK("https://helical-indexing-hi3d.streamlit.app/?emd_id=emd-38733&amp;rise=2.3933333273467117&amp;twist=179.63129540804738&amp;csym=1&amp;rise2=4.82&amp;twist2=-0.746&amp;csym2=1", "Link")</f>
        <v/>
      </c>
    </row>
    <row r="2014">
      <c r="A2014" t="inlineStr">
        <is>
          <t>EMD-50049</t>
        </is>
      </c>
      <c r="B2014" t="inlineStr">
        <is>
          <t>non-amyloid</t>
        </is>
      </c>
      <c r="C2014" t="n">
        <v>3</v>
      </c>
      <c r="D2014" t="n">
        <v>45.45</v>
      </c>
      <c r="E2014" t="n">
        <v>132.37</v>
      </c>
      <c r="F2014" t="inlineStr">
        <is>
          <t>C1</t>
        </is>
      </c>
      <c r="G2014" t="inlineStr">
        <is>
          <t>3.536092926</t>
        </is>
      </c>
      <c r="H2014" t="n">
        <v>26.04394628</v>
      </c>
      <c r="I2014" t="inlineStr">
        <is>
          <t>C1</t>
        </is>
      </c>
      <c r="J2014" t="n">
        <v>57.18138183</v>
      </c>
      <c r="K2014" t="inlineStr"/>
      <c r="L2014" t="n">
        <v>0.824579231</v>
      </c>
      <c r="M2014" t="n">
        <v>0.093966243</v>
      </c>
      <c r="N2014" t="inlineStr">
        <is>
          <t>No</t>
        </is>
      </c>
      <c r="O2014" t="inlineStr">
        <is>
          <t>worse</t>
        </is>
      </c>
      <c r="P2014" t="inlineStr">
        <is>
          <t>partial map</t>
        </is>
      </c>
      <c r="Q2014" t="inlineStr"/>
      <c r="R2014" t="inlineStr"/>
      <c r="S2014">
        <f>HYPERLINK("https://helical-indexing-hi3d.streamlit.app/?emd_id=emd-50049&amp;rise=3.536092926&amp;twist=26.04394628&amp;csym=1&amp;rise2=45.45&amp;twist2=132.37&amp;csym2=1", "Link")</f>
        <v/>
      </c>
    </row>
    <row r="2015">
      <c r="A2015" t="inlineStr">
        <is>
          <t>EMD-51184</t>
        </is>
      </c>
      <c r="B2015" t="inlineStr">
        <is>
          <t>non-amyloid</t>
        </is>
      </c>
      <c r="C2015" t="n">
        <v>3.32</v>
      </c>
      <c r="D2015" t="n">
        <v>25.34</v>
      </c>
      <c r="E2015" t="n">
        <v>63.68</v>
      </c>
      <c r="F2015" t="inlineStr">
        <is>
          <t>C1</t>
        </is>
      </c>
      <c r="G2015" t="inlineStr">
        <is>
          <t>0</t>
        </is>
      </c>
      <c r="H2015" t="n">
        <v>0</v>
      </c>
      <c r="I2015" t="inlineStr">
        <is>
          <t>C1</t>
        </is>
      </c>
      <c r="J2015" t="n">
        <v>31.92495710752695</v>
      </c>
      <c r="K2015" t="inlineStr"/>
      <c r="L2015" t="n">
        <v>0.505722608</v>
      </c>
      <c r="M2015" t="n">
        <v>0.180722856</v>
      </c>
      <c r="N2015" t="inlineStr">
        <is>
          <t>No</t>
        </is>
      </c>
      <c r="O2015" t="inlineStr">
        <is>
          <t>worse</t>
        </is>
      </c>
      <c r="P2015" t="inlineStr">
        <is>
          <t>focus reconstruction</t>
        </is>
      </c>
      <c r="Q2015" t="inlineStr"/>
      <c r="R2015" t="inlineStr"/>
      <c r="S2015">
        <f>HYPERLINK("https://helical-indexing-hi3d.streamlit.app/?emd_id=emd-51184&amp;rise=0&amp;twist=0.0&amp;csym=1&amp;rise2=25.34&amp;twist2=63.68&amp;csym2=1", "Link")</f>
        <v/>
      </c>
    </row>
    <row r="2016">
      <c r="A2016" t="inlineStr">
        <is>
          <t>EMD-51639</t>
        </is>
      </c>
      <c r="B2016" t="inlineStr">
        <is>
          <t>non-amyloid</t>
        </is>
      </c>
      <c r="C2016" t="n">
        <v>3.9</v>
      </c>
      <c r="D2016" t="n">
        <v>94</v>
      </c>
      <c r="E2016" t="n">
        <v>74</v>
      </c>
      <c r="F2016" t="inlineStr">
        <is>
          <t>C1</t>
        </is>
      </c>
      <c r="G2016" t="inlineStr">
        <is>
          <t>89.74999998</t>
        </is>
      </c>
      <c r="H2016" t="n">
        <v>73.5225887</v>
      </c>
      <c r="I2016" t="inlineStr">
        <is>
          <t>C1</t>
        </is>
      </c>
      <c r="J2016" t="n">
        <v>4.252318710705397</v>
      </c>
      <c r="K2016" t="inlineStr"/>
      <c r="L2016" t="n">
        <v>0.88398245</v>
      </c>
      <c r="M2016" t="n">
        <v>0.800779719</v>
      </c>
      <c r="N2016" t="inlineStr">
        <is>
          <t>No</t>
        </is>
      </c>
      <c r="O2016" t="inlineStr">
        <is>
          <t>equal</t>
        </is>
      </c>
      <c r="P2016" t="inlineStr">
        <is>
          <t>focus reconstruction</t>
        </is>
      </c>
      <c r="Q2016" t="inlineStr"/>
      <c r="R2016" t="inlineStr"/>
      <c r="S2016">
        <f>HYPERLINK("https://helical-indexing-hi3d.streamlit.app/?emd_id=emd-51639&amp;rise=89.74999998&amp;twist=73.5225887&amp;csym=1&amp;rise2=94.0&amp;twist2=74.0&amp;csym2=1", "Link")</f>
        <v/>
      </c>
    </row>
    <row r="2017">
      <c r="A2017" t="inlineStr">
        <is>
          <t>EMD-42831</t>
        </is>
      </c>
      <c r="B2017" t="inlineStr">
        <is>
          <t>non-amyloid</t>
        </is>
      </c>
      <c r="C2017" t="n">
        <v>3.18</v>
      </c>
      <c r="D2017" t="n">
        <v>19.16</v>
      </c>
      <c r="E2017" t="n">
        <v>81.06</v>
      </c>
      <c r="F2017" t="inlineStr">
        <is>
          <t>C1</t>
        </is>
      </c>
      <c r="G2017" t="inlineStr">
        <is>
          <t>0</t>
        </is>
      </c>
      <c r="H2017" t="n">
        <v>0</v>
      </c>
      <c r="I2017" t="inlineStr">
        <is>
          <t>C1</t>
        </is>
      </c>
      <c r="J2017" t="n">
        <v>44.33725053015836</v>
      </c>
      <c r="K2017" t="inlineStr"/>
      <c r="L2017" t="n">
        <v>0.221496896</v>
      </c>
      <c r="M2017" t="inlineStr"/>
      <c r="N2017" t="inlineStr">
        <is>
          <t>No</t>
        </is>
      </c>
      <c r="O2017" t="inlineStr">
        <is>
          <t>equal</t>
        </is>
      </c>
      <c r="P2017" t="inlineStr">
        <is>
          <t>focus reconstruction</t>
        </is>
      </c>
      <c r="Q2017" t="inlineStr"/>
      <c r="R2017" t="inlineStr"/>
      <c r="S2017">
        <f>HYPERLINK("https://helical-indexing-hi3d.streamlit.app/?emd_id=emd-42831&amp;rise=0&amp;twist=0.0&amp;csym=1&amp;rise2=19.16&amp;twist2=81.06&amp;csym2=1", "Link")</f>
        <v/>
      </c>
    </row>
    <row r="2018">
      <c r="A2018" t="inlineStr">
        <is>
          <t>EMD-37751</t>
        </is>
      </c>
      <c r="B2018" t="inlineStr">
        <is>
          <t>non-amyloid</t>
        </is>
      </c>
      <c r="C2018" t="n">
        <v>2.4</v>
      </c>
      <c r="D2018" t="n">
        <v>3.59</v>
      </c>
      <c r="E2018" t="n">
        <v>-56.07</v>
      </c>
      <c r="F2018" t="inlineStr">
        <is>
          <t>C1</t>
        </is>
      </c>
      <c r="G2018" t="inlineStr">
        <is>
          <t>0</t>
        </is>
      </c>
      <c r="H2018" t="n">
        <v>0</v>
      </c>
      <c r="I2018" t="inlineStr">
        <is>
          <t>C1</t>
        </is>
      </c>
      <c r="J2018" t="n">
        <v>19.92929853171286</v>
      </c>
      <c r="K2018" t="inlineStr"/>
      <c r="L2018" t="n">
        <v>0.205482642</v>
      </c>
      <c r="M2018" t="inlineStr"/>
      <c r="N2018" t="inlineStr">
        <is>
          <t>No</t>
        </is>
      </c>
      <c r="O2018" t="inlineStr">
        <is>
          <t>worse</t>
        </is>
      </c>
      <c r="P2018" t="inlineStr">
        <is>
          <t>partial map</t>
        </is>
      </c>
      <c r="Q2018" t="inlineStr"/>
      <c r="R2018" t="inlineStr"/>
      <c r="S2018">
        <f>HYPERLINK("https://helical-indexing-hi3d.streamlit.app/?emd_id=emd-37751&amp;rise=0&amp;twist=0.0&amp;csym=1&amp;rise2=3.59&amp;twist2=-56.07&amp;csym2=1", "Link")</f>
        <v/>
      </c>
    </row>
    <row r="2019">
      <c r="A2019" t="inlineStr">
        <is>
          <t>EMD-46621</t>
        </is>
      </c>
      <c r="B2019" t="inlineStr">
        <is>
          <t>non-amyloid</t>
        </is>
      </c>
      <c r="C2019" t="n">
        <v>24.5</v>
      </c>
      <c r="D2019" t="n">
        <v>1.37</v>
      </c>
      <c r="E2019" t="n">
        <v>-6.89</v>
      </c>
      <c r="F2019" t="inlineStr">
        <is>
          <t>C1</t>
        </is>
      </c>
      <c r="G2019" t="inlineStr">
        <is>
          <t>69.62705304</t>
        </is>
      </c>
      <c r="H2019" t="n">
        <v>6.6142345</v>
      </c>
      <c r="I2019" t="inlineStr">
        <is>
          <t>C1</t>
        </is>
      </c>
      <c r="J2019" t="n">
        <v>68.38538201980386</v>
      </c>
      <c r="K2019" t="inlineStr"/>
      <c r="L2019" t="inlineStr"/>
      <c r="M2019" t="n">
        <v>0.806600366</v>
      </c>
      <c r="N2019" t="inlineStr">
        <is>
          <t>No</t>
        </is>
      </c>
      <c r="O2019" t="inlineStr">
        <is>
          <t>equal</t>
        </is>
      </c>
      <c r="P2019" t="inlineStr">
        <is>
          <t>partial map</t>
        </is>
      </c>
      <c r="Q2019" t="inlineStr"/>
      <c r="R2019" t="inlineStr"/>
      <c r="S2019">
        <f>HYPERLINK("https://helical-indexing-hi3d.streamlit.app/?emd_id=emd-46621&amp;rise=69.62705304&amp;twist=6.6142345&amp;csym=1&amp;rise2=1.37&amp;twist2=-6.89&amp;csym2=1", "Link")</f>
        <v/>
      </c>
    </row>
    <row r="2020">
      <c r="A2020" t="inlineStr">
        <is>
          <t>EMD-62760</t>
        </is>
      </c>
      <c r="B2020" t="inlineStr">
        <is>
          <t>non-amyloid</t>
        </is>
      </c>
      <c r="C2020" t="n">
        <v>6.14</v>
      </c>
      <c r="D2020" t="n">
        <v>48.6</v>
      </c>
      <c r="E2020" t="n">
        <v>84.53100000000001</v>
      </c>
      <c r="F2020" t="inlineStr">
        <is>
          <t>C1</t>
        </is>
      </c>
      <c r="G2020" t="inlineStr">
        <is>
          <t>23.430146156578317</t>
        </is>
      </c>
      <c r="H2020" t="n">
        <v>9.661139557933096</v>
      </c>
      <c r="I2020" t="inlineStr">
        <is>
          <t>C1</t>
        </is>
      </c>
      <c r="J2020" t="n">
        <v>35.56078880457269</v>
      </c>
      <c r="K2020" t="inlineStr"/>
      <c r="L2020" t="n">
        <v>0.1080452155450866</v>
      </c>
      <c r="M2020" t="n">
        <v>0.052721476</v>
      </c>
      <c r="N2020" t="inlineStr">
        <is>
          <t>No</t>
        </is>
      </c>
      <c r="O2020" t="inlineStr">
        <is>
          <t>worse</t>
        </is>
      </c>
      <c r="P2020" t="inlineStr">
        <is>
          <t>partial map</t>
        </is>
      </c>
      <c r="Q2020" t="inlineStr"/>
      <c r="R2020" t="inlineStr"/>
      <c r="S2020">
        <f>HYPERLINK("https://helical-indexing-hi3d.streamlit.app/?emd_id=emd-62760&amp;rise=23.430146156578317&amp;twist=9.661139557933096&amp;csym=1&amp;rise2=48.6&amp;twist2=84.531&amp;csym2=1", "Link")</f>
        <v/>
      </c>
    </row>
    <row r="2021">
      <c r="A2021" t="inlineStr">
        <is>
          <t>EMD-62762</t>
        </is>
      </c>
      <c r="B2021" t="inlineStr">
        <is>
          <t>non-amyloid</t>
        </is>
      </c>
      <c r="C2021" t="n">
        <v>5.86</v>
      </c>
      <c r="D2021" t="n">
        <v>48.6</v>
      </c>
      <c r="E2021" t="n">
        <v>84.53100000000001</v>
      </c>
      <c r="F2021" t="inlineStr">
        <is>
          <t>C1</t>
        </is>
      </c>
      <c r="G2021" t="inlineStr">
        <is>
          <t>24.319516914280648</t>
        </is>
      </c>
      <c r="H2021" t="n">
        <v>1.790131492122299</v>
      </c>
      <c r="I2021" t="inlineStr">
        <is>
          <t>C9</t>
        </is>
      </c>
      <c r="J2021" t="n">
        <v>37.59134775271999</v>
      </c>
      <c r="K2021" t="inlineStr"/>
      <c r="L2021" t="n">
        <v>0.088844899</v>
      </c>
      <c r="M2021" t="n">
        <v>0.1470556998358067</v>
      </c>
      <c r="N2021" t="inlineStr">
        <is>
          <t>No</t>
        </is>
      </c>
      <c r="O2021" t="inlineStr">
        <is>
          <t>improve</t>
        </is>
      </c>
      <c r="P2021" t="inlineStr">
        <is>
          <t>partial map</t>
        </is>
      </c>
      <c r="Q2021" t="inlineStr"/>
      <c r="R2021" t="inlineStr"/>
      <c r="S2021">
        <f>HYPERLINK("https://helical-indexing-hi3d.streamlit.app/?emd_id=emd-62762&amp;rise=24.319516914280648&amp;twist=1.790131492122299&amp;csym=9&amp;rise2=48.6&amp;twist2=84.531&amp;csym2=1", "Link")</f>
        <v/>
      </c>
    </row>
    <row r="2022">
      <c r="A2022" t="inlineStr">
        <is>
          <t>EMD-62763</t>
        </is>
      </c>
      <c r="B2022" t="inlineStr">
        <is>
          <t>non-amyloid</t>
        </is>
      </c>
      <c r="C2022" t="n">
        <v>4.3</v>
      </c>
      <c r="D2022" t="n">
        <v>48.6</v>
      </c>
      <c r="E2022" t="n">
        <v>84.53100000000001</v>
      </c>
      <c r="F2022" t="inlineStr">
        <is>
          <t>C1</t>
        </is>
      </c>
      <c r="G2022" t="inlineStr">
        <is>
          <t>165.09056113862422</t>
        </is>
      </c>
      <c r="H2022" t="n">
        <v>8.153368568838374</v>
      </c>
      <c r="I2022" t="inlineStr">
        <is>
          <t>C1</t>
        </is>
      </c>
      <c r="J2022" t="n">
        <v>119.6582377102816</v>
      </c>
      <c r="K2022" t="inlineStr"/>
      <c r="L2022" t="n">
        <v>0.26660528</v>
      </c>
      <c r="M2022" t="n">
        <v>0.2843229412142264</v>
      </c>
      <c r="N2022" t="inlineStr">
        <is>
          <t>No</t>
        </is>
      </c>
      <c r="O2022" t="inlineStr">
        <is>
          <t>equal</t>
        </is>
      </c>
      <c r="P2022" t="inlineStr">
        <is>
          <t>partial map</t>
        </is>
      </c>
      <c r="Q2022" t="inlineStr"/>
      <c r="R2022" t="inlineStr"/>
      <c r="S2022">
        <f>HYPERLINK("https://helical-indexing-hi3d.streamlit.app/?emd_id=emd-62763&amp;rise=165.09056113862422&amp;twist=8.153368568838374&amp;csym=1&amp;rise2=48.6&amp;twist2=84.531&amp;csym2=1", "Link")</f>
        <v/>
      </c>
    </row>
    <row r="2023">
      <c r="A2023" t="inlineStr">
        <is>
          <t>EMD-62759</t>
        </is>
      </c>
      <c r="B2023" t="inlineStr">
        <is>
          <t>non-amyloid</t>
        </is>
      </c>
      <c r="C2023" t="n">
        <v>4.32</v>
      </c>
      <c r="D2023" t="n">
        <v>48.6</v>
      </c>
      <c r="E2023" t="n">
        <v>84.53100000000001</v>
      </c>
      <c r="F2023" t="inlineStr">
        <is>
          <t>C1</t>
        </is>
      </c>
      <c r="G2023" t="inlineStr">
        <is>
          <t>165.18867872995838</t>
        </is>
      </c>
      <c r="H2023" t="n">
        <v>7.960717122209843</v>
      </c>
      <c r="I2023" t="inlineStr">
        <is>
          <t>C1</t>
        </is>
      </c>
      <c r="J2023" t="n">
        <v>120.0216246846737</v>
      </c>
      <c r="K2023" t="inlineStr"/>
      <c r="L2023" t="n">
        <v>0.2753302499161614</v>
      </c>
      <c r="M2023" t="n">
        <v>0.2458681288541148</v>
      </c>
      <c r="N2023" t="inlineStr">
        <is>
          <t>No</t>
        </is>
      </c>
      <c r="O2023" t="inlineStr">
        <is>
          <t>worse</t>
        </is>
      </c>
      <c r="P2023" t="inlineStr">
        <is>
          <t>partial map</t>
        </is>
      </c>
      <c r="Q2023" t="inlineStr"/>
      <c r="R2023" t="inlineStr"/>
      <c r="S2023">
        <f>HYPERLINK("https://helical-indexing-hi3d.streamlit.app/?emd_id=emd-62759&amp;rise=165.18867872995838&amp;twist=7.960717122209843&amp;csym=1&amp;rise2=48.6&amp;twist2=84.531&amp;csym2=1", "Link")</f>
        <v/>
      </c>
    </row>
    <row r="2024">
      <c r="A2024" t="inlineStr">
        <is>
          <t>EMD-44184</t>
        </is>
      </c>
      <c r="B2024" t="inlineStr">
        <is>
          <t>amyloid</t>
        </is>
      </c>
      <c r="C2024" t="n">
        <v>3.1</v>
      </c>
      <c r="D2024" t="n">
        <v>9.65</v>
      </c>
      <c r="E2024" t="n">
        <v>-2.2</v>
      </c>
      <c r="F2024" t="inlineStr">
        <is>
          <t>C1</t>
        </is>
      </c>
      <c r="G2024" t="inlineStr">
        <is>
          <t>2.3870240571896768e-05</t>
        </is>
      </c>
      <c r="H2024" t="n">
        <v>-3.7e-05</v>
      </c>
      <c r="I2024" t="inlineStr">
        <is>
          <t>C1</t>
        </is>
      </c>
      <c r="J2024" t="n">
        <v>9.751790224560663</v>
      </c>
      <c r="K2024" t="inlineStr"/>
      <c r="L2024" t="n">
        <v>0.2407516780666631</v>
      </c>
      <c r="M2024" t="inlineStr"/>
      <c r="N2024" t="inlineStr">
        <is>
          <t>No</t>
        </is>
      </c>
      <c r="O2024" t="inlineStr">
        <is>
          <t>equal</t>
        </is>
      </c>
      <c r="P2024" t="inlineStr">
        <is>
          <t>partial map</t>
        </is>
      </c>
      <c r="Q2024" t="inlineStr"/>
      <c r="R2024" t="inlineStr"/>
      <c r="S2024">
        <f>HYPERLINK("https://helical-indexing-hi3d.streamlit.app/?emd_id=emd-44184&amp;rise=2.3870240571896768e-05&amp;twist=-3.7e-05&amp;csym=1&amp;rise2=9.65&amp;twist2=-2.2&amp;csym2=1", "Link")</f>
        <v/>
      </c>
    </row>
    <row r="2025">
      <c r="A2025" t="inlineStr">
        <is>
          <t>EMD-46576</t>
        </is>
      </c>
      <c r="B2025" t="inlineStr">
        <is>
          <t>non-amyloid</t>
        </is>
      </c>
      <c r="C2025" t="n">
        <v>2.43</v>
      </c>
      <c r="D2025" t="n">
        <v>27.912</v>
      </c>
      <c r="E2025" t="n">
        <v>-55.311</v>
      </c>
      <c r="F2025" t="inlineStr">
        <is>
          <t>D1</t>
        </is>
      </c>
      <c r="G2025" t="inlineStr">
        <is>
          <t>27.671447118411145</t>
        </is>
      </c>
      <c r="H2025" t="n">
        <v>54.8934047709408</v>
      </c>
      <c r="I2025" t="inlineStr">
        <is>
          <t>C1</t>
        </is>
      </c>
      <c r="J2025" t="n">
        <v>39.57671026</v>
      </c>
      <c r="K2025" t="inlineStr"/>
      <c r="L2025" t="n">
        <v>0.3323798959774845</v>
      </c>
      <c r="M2025" t="n">
        <v>0.4987813620573316</v>
      </c>
      <c r="N2025" t="inlineStr">
        <is>
          <t>No</t>
        </is>
      </c>
      <c r="O2025" t="inlineStr">
        <is>
          <t>improve</t>
        </is>
      </c>
      <c r="P2025" t="inlineStr">
        <is>
          <t>focus reconstruction</t>
        </is>
      </c>
      <c r="Q2025" t="inlineStr"/>
      <c r="R2025" t="inlineStr"/>
      <c r="S2025">
        <f>HYPERLINK("https://helical-indexing-hi3d.streamlit.app/?emd_id=emd-46576&amp;rise=27.671447118411145&amp;twist=54.893404770940805&amp;csym=1&amp;rise2=27.912&amp;twist2=-55.311&amp;csym2=1", "Link")</f>
        <v/>
      </c>
    </row>
    <row r="2026">
      <c r="A2026" t="inlineStr">
        <is>
          <t>EMD-39814</t>
        </is>
      </c>
      <c r="B2026" t="inlineStr">
        <is>
          <t>non-amyloid</t>
        </is>
      </c>
      <c r="C2026" t="n">
        <v>3.56</v>
      </c>
      <c r="D2026" t="n">
        <v>23.34</v>
      </c>
      <c r="E2026" t="n">
        <v>103.59</v>
      </c>
      <c r="F2026" t="inlineStr">
        <is>
          <t>C1</t>
        </is>
      </c>
      <c r="G2026" t="inlineStr">
        <is>
          <t>0</t>
        </is>
      </c>
      <c r="H2026" t="n">
        <v>0</v>
      </c>
      <c r="I2026" t="inlineStr">
        <is>
          <t>C1</t>
        </is>
      </c>
      <c r="J2026" t="n">
        <v>0</v>
      </c>
      <c r="K2026" t="inlineStr"/>
      <c r="L2026" t="n">
        <v>0.3397908107958148</v>
      </c>
      <c r="M2026" t="n">
        <v>0.1856053103713553</v>
      </c>
      <c r="N2026" t="inlineStr">
        <is>
          <t>No</t>
        </is>
      </c>
      <c r="O2026" t="inlineStr">
        <is>
          <t>worse</t>
        </is>
      </c>
      <c r="P2026" t="inlineStr">
        <is>
          <t>partial map</t>
        </is>
      </c>
      <c r="Q2026" t="inlineStr"/>
      <c r="R2026" t="inlineStr"/>
      <c r="S2026">
        <f>HYPERLINK("https://helical-indexing-hi3d.streamlit.app/?emd_id=emd-39814&amp;rise=0&amp;twist=0.0&amp;csym=1&amp;rise2=23.34&amp;twist2=103.59&amp;csym2=1",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2025-05-10T00:54:31Z</dcterms:created>
  <dcterms:modified xsi:type="dcterms:W3CDTF">2025-05-10T00:54:31Z</dcterms:modified>
</cp:coreProperties>
</file>