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  <sheet name="Sheet2" sheetId="2" r:id="rId2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123" i="1" l="1"/>
  <c r="G123" i="1"/>
  <c r="F123" i="1"/>
  <c r="E123" i="1"/>
  <c r="D123" i="1"/>
  <c r="C123" i="1"/>
  <c r="H122" i="1"/>
  <c r="G122" i="1"/>
  <c r="F122" i="1"/>
  <c r="E122" i="1"/>
  <c r="D122" i="1"/>
  <c r="C122" i="1"/>
  <c r="H121" i="1" l="1"/>
  <c r="G121" i="1"/>
  <c r="F121" i="1"/>
  <c r="E121" i="1"/>
  <c r="D121" i="1"/>
  <c r="C121" i="1"/>
  <c r="H120" i="1"/>
  <c r="G120" i="1"/>
  <c r="F120" i="1"/>
  <c r="E120" i="1"/>
  <c r="D120" i="1"/>
  <c r="C120" i="1"/>
  <c r="H119" i="1" l="1"/>
  <c r="G119" i="1"/>
  <c r="F119" i="1"/>
  <c r="E119" i="1"/>
  <c r="D119" i="1"/>
  <c r="C119" i="1"/>
  <c r="H118" i="1"/>
  <c r="G118" i="1"/>
  <c r="F118" i="1"/>
  <c r="E118" i="1"/>
  <c r="D118" i="1"/>
  <c r="C118" i="1"/>
  <c r="H117" i="1" l="1"/>
  <c r="G117" i="1"/>
  <c r="F117" i="1"/>
  <c r="E117" i="1"/>
  <c r="D117" i="1"/>
  <c r="C117" i="1"/>
  <c r="H116" i="1"/>
  <c r="G116" i="1"/>
  <c r="F116" i="1"/>
  <c r="E116" i="1"/>
  <c r="D116" i="1"/>
  <c r="C116" i="1"/>
  <c r="H115" i="1" l="1"/>
  <c r="G115" i="1"/>
  <c r="F115" i="1"/>
  <c r="E115" i="1"/>
  <c r="D115" i="1"/>
  <c r="C115" i="1"/>
  <c r="H114" i="1"/>
  <c r="G114" i="1"/>
  <c r="F114" i="1"/>
  <c r="E114" i="1"/>
  <c r="D114" i="1"/>
  <c r="C114" i="1"/>
  <c r="H113" i="1" l="1"/>
  <c r="G113" i="1"/>
  <c r="F113" i="1"/>
  <c r="E113" i="1"/>
  <c r="D113" i="1"/>
  <c r="C113" i="1"/>
  <c r="H112" i="1"/>
  <c r="G112" i="1"/>
  <c r="F112" i="1"/>
  <c r="E112" i="1"/>
  <c r="D112" i="1"/>
  <c r="C112" i="1"/>
  <c r="H111" i="1" l="1"/>
  <c r="G111" i="1"/>
  <c r="E111" i="1"/>
  <c r="F111" i="1"/>
  <c r="D111" i="1"/>
  <c r="C111" i="1"/>
  <c r="H110" i="1"/>
  <c r="G110" i="1"/>
  <c r="F110" i="1"/>
  <c r="E110" i="1"/>
  <c r="D110" i="1"/>
  <c r="C110" i="1"/>
  <c r="H109" i="1" l="1"/>
  <c r="G109" i="1"/>
  <c r="F109" i="1"/>
  <c r="E109" i="1"/>
  <c r="D109" i="1"/>
  <c r="C109" i="1"/>
  <c r="H108" i="1"/>
  <c r="G108" i="1"/>
  <c r="F108" i="1"/>
  <c r="E108" i="1"/>
  <c r="D108" i="1"/>
  <c r="C108" i="1"/>
  <c r="C107" i="1" l="1"/>
  <c r="C105" i="1"/>
  <c r="H107" i="1"/>
  <c r="G107" i="1"/>
  <c r="F107" i="1"/>
  <c r="E107" i="1"/>
  <c r="D107" i="1"/>
  <c r="H105" i="1"/>
  <c r="E105" i="1"/>
  <c r="H106" i="1"/>
  <c r="G106" i="1"/>
  <c r="F106" i="1"/>
  <c r="E106" i="1"/>
  <c r="D106" i="1"/>
  <c r="C106" i="1"/>
  <c r="G105" i="1" l="1"/>
  <c r="F105" i="1"/>
  <c r="D105" i="1"/>
  <c r="H104" i="1"/>
  <c r="G104" i="1"/>
  <c r="F104" i="1"/>
  <c r="E104" i="1"/>
  <c r="D104" i="1"/>
  <c r="C104" i="1"/>
  <c r="G99" i="1" l="1"/>
  <c r="G103" i="1"/>
  <c r="H103" i="1"/>
  <c r="F103" i="1"/>
  <c r="E103" i="1"/>
  <c r="D103" i="1"/>
  <c r="C103" i="1"/>
  <c r="H102" i="1"/>
  <c r="G102" i="1"/>
  <c r="F102" i="1"/>
  <c r="E102" i="1"/>
  <c r="D102" i="1"/>
  <c r="C102" i="1"/>
  <c r="H101" i="1" l="1"/>
  <c r="G101" i="1"/>
  <c r="F101" i="1"/>
  <c r="E101" i="1"/>
  <c r="D101" i="1"/>
  <c r="C101" i="1"/>
  <c r="H100" i="1"/>
  <c r="G100" i="1"/>
  <c r="F100" i="1"/>
  <c r="E100" i="1"/>
  <c r="D100" i="1"/>
  <c r="C100" i="1"/>
  <c r="H99" i="1" l="1"/>
  <c r="F99" i="1"/>
  <c r="E99" i="1"/>
  <c r="D99" i="1"/>
  <c r="C97" i="1"/>
  <c r="C99" i="1"/>
  <c r="H98" i="1"/>
  <c r="G98" i="1"/>
  <c r="F98" i="1"/>
  <c r="E98" i="1"/>
  <c r="D98" i="1"/>
  <c r="C98" i="1"/>
  <c r="H97" i="1" l="1"/>
  <c r="G97" i="1"/>
  <c r="F97" i="1"/>
  <c r="E97" i="1"/>
  <c r="D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<sst xmlns="http://schemas.openxmlformats.org/spreadsheetml/2006/main" count="153" uniqueCount="28">
  <si>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</si>
  <si>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</si>
  <si>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</si>
  <si>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</si>
  <si>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</si>
  <si>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</si>
  <si>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</si>
  <si>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</si>
  <si>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</si>
  <si>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</si>
  <si>
    <t>站点名称</t>
    <phoneticPr fontId="1" type="noConversion"/>
  </si>
  <si>
    <t>地址</t>
    <phoneticPr fontId="1" type="noConversion"/>
  </si>
  <si>
    <t>在线状态</t>
    <phoneticPr fontId="1" type="noConversion"/>
  </si>
  <si>
    <t>长沙飞狐四方坪东区充电站</t>
    <phoneticPr fontId="1" type="noConversion"/>
  </si>
  <si>
    <t>长沙飞狐四方坪西区充电站</t>
    <phoneticPr fontId="1" type="noConversion"/>
  </si>
  <si>
    <t>长沙飞狐四方坪南区充电站</t>
    <phoneticPr fontId="1" type="noConversion"/>
  </si>
  <si>
    <t>长沙飞狐高岭充电站</t>
    <phoneticPr fontId="1" type="noConversion"/>
  </si>
  <si>
    <t>开福区四方坪东二环立交桥下</t>
    <phoneticPr fontId="1" type="noConversion"/>
  </si>
  <si>
    <t>开福区高岭国际商贸城</t>
    <phoneticPr fontId="1" type="noConversion"/>
  </si>
  <si>
    <t>在线</t>
    <phoneticPr fontId="1" type="noConversion"/>
  </si>
  <si>
    <t>道闸收入(元）</t>
    <phoneticPr fontId="1" type="noConversion"/>
  </si>
  <si>
    <t>月卡收入(元）</t>
    <phoneticPr fontId="1" type="noConversion"/>
  </si>
  <si>
    <t>终端总数</t>
    <phoneticPr fontId="1" type="noConversion"/>
  </si>
  <si>
    <t>额定总功率(kw)</t>
    <phoneticPr fontId="1" type="noConversion"/>
  </si>
  <si>
    <t>充电量(kwh)</t>
    <phoneticPr fontId="1" type="noConversion"/>
  </si>
  <si>
    <t>充电总收入(元）</t>
    <phoneticPr fontId="1" type="noConversion"/>
  </si>
  <si>
    <t>充电服务费收入(元）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</si>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</sst>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abSelected="1" topLeftCell="A109" workbookViewId="0">
      <selection activeCell="K119" sqref="K119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 t="shared" ref="D94:D99" si="6"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 t="shared" si="6"/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 t="shared" si="6"/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 t="shared" si="6"/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  <row r="98" spans="1:8" x14ac:dyDescent="0.15">
      <c r="A98" s="1">
        <v>45949</v>
      </c>
      <c r="B98" t="s">
        <v>2</v>
      </c>
      <c r="C98" s="5">
        <f>16400/126</f>
        <v>130.15873015873015</v>
      </c>
      <c r="D98" s="4">
        <f t="shared" si="6"/>
        <v>9.0388007054673716E-2</v>
      </c>
      <c r="E98" s="5">
        <f>8921.04/126</f>
        <v>70.801904761904765</v>
      </c>
      <c r="F98" s="5">
        <f>3008.65/126</f>
        <v>23.878174603174603</v>
      </c>
      <c r="G98" s="5">
        <f>8921.04/(16400/60)</f>
        <v>32.637951219512203</v>
      </c>
      <c r="H98" s="5">
        <f>369/126</f>
        <v>2.9285714285714284</v>
      </c>
    </row>
    <row r="99" spans="1:8" x14ac:dyDescent="0.15">
      <c r="A99" s="1">
        <v>45949</v>
      </c>
      <c r="B99" t="s">
        <v>3</v>
      </c>
      <c r="C99" s="5">
        <f>6291/36</f>
        <v>174.75</v>
      </c>
      <c r="D99" s="4">
        <f t="shared" si="6"/>
        <v>0.12135416666666667</v>
      </c>
      <c r="E99" s="5">
        <f>4269.53/36</f>
        <v>118.59805555555555</v>
      </c>
      <c r="F99" s="5">
        <f>1039.3/36</f>
        <v>28.869444444444444</v>
      </c>
      <c r="G99" s="5">
        <f>4269.53/(6291/60)</f>
        <v>40.720362422508344</v>
      </c>
      <c r="H99" s="5">
        <f>150/36</f>
        <v>4.166666666666667</v>
      </c>
    </row>
    <row r="100" spans="1:8" x14ac:dyDescent="0.15">
      <c r="A100" s="1">
        <v>45950</v>
      </c>
      <c r="B100" t="s">
        <v>2</v>
      </c>
      <c r="C100" s="5">
        <f>19892/126</f>
        <v>157.87301587301587</v>
      </c>
      <c r="D100" s="4">
        <f t="shared" ref="D100:D105" si="7">C100/(24*60)</f>
        <v>0.10963403880070546</v>
      </c>
      <c r="E100" s="5">
        <f>10820.19/126</f>
        <v>85.874523809523808</v>
      </c>
      <c r="F100" s="5">
        <f>3759.82/126</f>
        <v>29.839841269841273</v>
      </c>
      <c r="G100" s="5">
        <f>10820.19/(19892/60)</f>
        <v>32.636808767343652</v>
      </c>
      <c r="H100" s="5">
        <f>427/126</f>
        <v>3.3888888888888888</v>
      </c>
    </row>
    <row r="101" spans="1:8" x14ac:dyDescent="0.15">
      <c r="A101" s="1">
        <v>45950</v>
      </c>
      <c r="B101" t="s">
        <v>3</v>
      </c>
      <c r="C101" s="5">
        <f>6345/36</f>
        <v>176.25</v>
      </c>
      <c r="D101" s="4">
        <f t="shared" si="7"/>
        <v>0.12239583333333333</v>
      </c>
      <c r="E101" s="5">
        <f>4517.3/36</f>
        <v>125.48055555555555</v>
      </c>
      <c r="F101" s="5">
        <f>1280.75/36</f>
        <v>35.576388888888886</v>
      </c>
      <c r="G101" s="5">
        <f>4517.3/(6345/60)</f>
        <v>42.716784869976358</v>
      </c>
      <c r="H101" s="5">
        <f>157/36</f>
        <v>4.3611111111111107</v>
      </c>
    </row>
    <row r="102" spans="1:8" x14ac:dyDescent="0.15">
      <c r="A102" s="1">
        <v>45951</v>
      </c>
      <c r="B102" t="s">
        <v>2</v>
      </c>
      <c r="C102" s="5">
        <f>18469/126</f>
        <v>146.57936507936509</v>
      </c>
      <c r="D102" s="4">
        <f t="shared" si="7"/>
        <v>0.10179122574955909</v>
      </c>
      <c r="E102" s="5">
        <f>9719.94/126</f>
        <v>77.142380952380961</v>
      </c>
      <c r="F102" s="5">
        <f>3449.26/126</f>
        <v>27.375079365079365</v>
      </c>
      <c r="G102" s="5">
        <f>9719.94/(18469/60)</f>
        <v>31.577042611944343</v>
      </c>
      <c r="H102" s="5">
        <f>408/126</f>
        <v>3.2380952380952381</v>
      </c>
    </row>
    <row r="103" spans="1:8" x14ac:dyDescent="0.15">
      <c r="A103" s="1">
        <v>45951</v>
      </c>
      <c r="B103" t="s">
        <v>3</v>
      </c>
      <c r="C103" s="5">
        <f>9025/36</f>
        <v>250.69444444444446</v>
      </c>
      <c r="D103" s="4">
        <f t="shared" si="7"/>
        <v>0.17409336419753088</v>
      </c>
      <c r="E103" s="5">
        <f>5947.02/36</f>
        <v>165.19500000000002</v>
      </c>
      <c r="F103" s="5">
        <f>1572.22/36</f>
        <v>43.672777777777782</v>
      </c>
      <c r="G103" s="5">
        <f>5947.02/(9025/60)</f>
        <v>39.53697506925208</v>
      </c>
      <c r="H103" s="5">
        <f>209/36</f>
        <v>5.8055555555555554</v>
      </c>
    </row>
    <row r="104" spans="1:8" x14ac:dyDescent="0.15">
      <c r="A104" s="1">
        <v>45952</v>
      </c>
      <c r="B104" t="s">
        <v>2</v>
      </c>
      <c r="C104" s="5">
        <f>17491/126</f>
        <v>138.81746031746033</v>
      </c>
      <c r="D104" s="4">
        <f t="shared" si="7"/>
        <v>9.6401014109347455E-2</v>
      </c>
      <c r="E104" s="5">
        <f>8977.26/126</f>
        <v>71.248095238095246</v>
      </c>
      <c r="F104" s="5">
        <f>3108.35/126</f>
        <v>24.669444444444444</v>
      </c>
      <c r="G104" s="5">
        <f>8977.26/(17491/60)</f>
        <v>30.795014578926306</v>
      </c>
      <c r="H104" s="5">
        <f>388/126</f>
        <v>3.0793650793650795</v>
      </c>
    </row>
    <row r="105" spans="1:8" x14ac:dyDescent="0.15">
      <c r="A105" s="1">
        <v>45952</v>
      </c>
      <c r="B105" t="s">
        <v>3</v>
      </c>
      <c r="C105" s="5">
        <f>8139/36</f>
        <v>226.08333333333334</v>
      </c>
      <c r="D105" s="4">
        <f t="shared" si="7"/>
        <v>0.15700231481481483</v>
      </c>
      <c r="E105" s="5">
        <f>5175.03/36</f>
        <v>143.75083333333333</v>
      </c>
      <c r="F105" s="5">
        <f>1404.57/36</f>
        <v>39.015833333333333</v>
      </c>
      <c r="G105" s="5">
        <f>5175.03/(8139/60)</f>
        <v>38.149870991522299</v>
      </c>
      <c r="H105" s="5">
        <f>197/36</f>
        <v>5.4722222222222223</v>
      </c>
    </row>
    <row r="106" spans="1:8" x14ac:dyDescent="0.15">
      <c r="A106" s="1">
        <v>45953</v>
      </c>
      <c r="B106" t="s">
        <v>2</v>
      </c>
      <c r="C106" s="5">
        <f>18485/126</f>
        <v>146.70634920634922</v>
      </c>
      <c r="D106" s="4">
        <f t="shared" ref="D106:D111" si="8">C106/(24*60)</f>
        <v>0.10187940917107584</v>
      </c>
      <c r="E106" s="5">
        <f>10022.34/126</f>
        <v>79.542380952380952</v>
      </c>
      <c r="F106" s="5">
        <f>3555.21/126</f>
        <v>28.21595238095238</v>
      </c>
      <c r="G106" s="5">
        <f>10022.34/(18485/60)</f>
        <v>32.531263186367326</v>
      </c>
      <c r="H106" s="5">
        <f>421/126</f>
        <v>3.3412698412698414</v>
      </c>
    </row>
    <row r="107" spans="1:8" x14ac:dyDescent="0.15">
      <c r="A107" s="1">
        <v>45953</v>
      </c>
      <c r="B107" t="s">
        <v>3</v>
      </c>
      <c r="C107" s="5">
        <f>7056/36</f>
        <v>196</v>
      </c>
      <c r="D107" s="4">
        <f t="shared" si="8"/>
        <v>0.1361111111111111</v>
      </c>
      <c r="E107" s="5">
        <f>5362.37/36</f>
        <v>148.95472222222222</v>
      </c>
      <c r="F107" s="5">
        <f>1389.28/36</f>
        <v>38.591111111111111</v>
      </c>
      <c r="G107" s="5">
        <f>5362.37/(7056/60)</f>
        <v>45.598384353741501</v>
      </c>
      <c r="H107" s="5">
        <f>214/36</f>
        <v>5.9444444444444446</v>
      </c>
    </row>
    <row r="108" spans="1:8" x14ac:dyDescent="0.15">
      <c r="A108" s="1">
        <v>45954</v>
      </c>
      <c r="B108" t="s">
        <v>2</v>
      </c>
      <c r="C108" s="5">
        <f>17690/126</f>
        <v>140.39682539682539</v>
      </c>
      <c r="D108" s="4">
        <f t="shared" si="8"/>
        <v>9.7497795414462074E-2</v>
      </c>
      <c r="E108" s="5">
        <f>9462.42/126</f>
        <v>75.098571428571432</v>
      </c>
      <c r="F108" s="5">
        <f>3311.88/126</f>
        <v>26.284761904761904</v>
      </c>
      <c r="G108" s="5">
        <f>9462.42/(17690/60)</f>
        <v>32.094132278123233</v>
      </c>
      <c r="H108" s="5">
        <f>397/126</f>
        <v>3.1507936507936507</v>
      </c>
    </row>
    <row r="109" spans="1:8" x14ac:dyDescent="0.15">
      <c r="A109" s="1">
        <v>45954</v>
      </c>
      <c r="B109" t="s">
        <v>3</v>
      </c>
      <c r="C109" s="5">
        <f>6975/36</f>
        <v>193.75</v>
      </c>
      <c r="D109" s="4">
        <f t="shared" si="8"/>
        <v>0.1345486111111111</v>
      </c>
      <c r="E109" s="5">
        <f>5405.33/36</f>
        <v>150.14805555555554</v>
      </c>
      <c r="F109" s="5">
        <f>1398.83/36</f>
        <v>38.856388888888887</v>
      </c>
      <c r="G109" s="5">
        <f>5405.33/(6975/60)</f>
        <v>46.497462365591396</v>
      </c>
      <c r="H109" s="5">
        <f>200/36</f>
        <v>5.5555555555555554</v>
      </c>
    </row>
    <row r="110" spans="1:8" x14ac:dyDescent="0.15">
      <c r="A110" s="1">
        <v>45955</v>
      </c>
      <c r="B110" t="s">
        <v>2</v>
      </c>
      <c r="C110" s="5">
        <f>18844/126</f>
        <v>149.55555555555554</v>
      </c>
      <c r="D110" s="4">
        <f t="shared" si="8"/>
        <v>0.10385802469135802</v>
      </c>
      <c r="E110" s="5">
        <f>10409.1/126</f>
        <v>82.611904761904768</v>
      </c>
      <c r="F110" s="5">
        <f>3654.9/126</f>
        <v>29.007142857142856</v>
      </c>
      <c r="G110" s="5">
        <f>10409.4/(18844/60)</f>
        <v>33.1439184886436</v>
      </c>
      <c r="H110" s="5">
        <f>425/126</f>
        <v>3.373015873015873</v>
      </c>
    </row>
    <row r="111" spans="1:8" x14ac:dyDescent="0.15">
      <c r="A111" s="1">
        <v>45955</v>
      </c>
      <c r="B111" t="s">
        <v>3</v>
      </c>
      <c r="C111" s="5">
        <f>6677/36</f>
        <v>185.47222222222223</v>
      </c>
      <c r="D111" s="4">
        <f t="shared" si="8"/>
        <v>0.12880015432098765</v>
      </c>
      <c r="E111" s="5">
        <f>5114.27/36</f>
        <v>142.06305555555556</v>
      </c>
      <c r="F111" s="5">
        <f>1334.4/36</f>
        <v>37.06666666666667</v>
      </c>
      <c r="G111" s="5">
        <f>5114.27/(6677/60)</f>
        <v>45.957196345664222</v>
      </c>
      <c r="H111" s="5">
        <f>163/36</f>
        <v>4.5277777777777777</v>
      </c>
    </row>
    <row r="112" spans="1:8" x14ac:dyDescent="0.15">
      <c r="A112" s="1">
        <v>45956</v>
      </c>
      <c r="B112" t="s">
        <v>2</v>
      </c>
      <c r="C112" s="5">
        <f>18309/126</f>
        <v>145.3095238095238</v>
      </c>
      <c r="D112" s="4">
        <f t="shared" ref="D112:D117" si="9">C112/(24*60)</f>
        <v>0.10090939153439152</v>
      </c>
      <c r="E112" s="5">
        <f>9596.2/126</f>
        <v>76.160317460317472</v>
      </c>
      <c r="F112" s="5">
        <f>3347.98/126</f>
        <v>26.571269841269842</v>
      </c>
      <c r="G112" s="5">
        <f>9695.2/(18309/60)</f>
        <v>31.771915451417339</v>
      </c>
      <c r="H112" s="5">
        <f>409/126</f>
        <v>3.246031746031746</v>
      </c>
    </row>
    <row r="113" spans="1:8" x14ac:dyDescent="0.15">
      <c r="A113" s="1">
        <v>45956</v>
      </c>
      <c r="B113" t="s">
        <v>3</v>
      </c>
      <c r="C113" s="5">
        <f>5857/36</f>
        <v>162.69444444444446</v>
      </c>
      <c r="D113" s="4">
        <f t="shared" si="9"/>
        <v>0.11298225308641976</v>
      </c>
      <c r="E113" s="5">
        <f>4219.62/36</f>
        <v>117.21166666666666</v>
      </c>
      <c r="F113" s="5">
        <f>1092.16/36</f>
        <v>30.337777777777781</v>
      </c>
      <c r="G113" s="5">
        <f>4219.62/(5875/60)</f>
        <v>43.093991489361699</v>
      </c>
      <c r="H113" s="5">
        <f>146/36</f>
        <v>4.0555555555555554</v>
      </c>
    </row>
    <row r="114" spans="1:8" x14ac:dyDescent="0.15">
      <c r="A114" s="1">
        <v>45957</v>
      </c>
      <c r="B114" t="s">
        <v>2</v>
      </c>
      <c r="C114" s="5">
        <f>15790/126</f>
        <v>125.31746031746032</v>
      </c>
      <c r="D114" s="4">
        <f t="shared" si="9"/>
        <v>8.7026014109347447E-2</v>
      </c>
      <c r="E114" s="5">
        <f>8252.82/126</f>
        <v>65.498571428571424</v>
      </c>
      <c r="F114" s="5">
        <f>2845.09/126</f>
        <v>22.580079365079367</v>
      </c>
      <c r="G114" s="5">
        <f>8252.82/(15790/60)</f>
        <v>31.359670677644075</v>
      </c>
      <c r="H114" s="5">
        <f>356/126</f>
        <v>2.8253968253968256</v>
      </c>
    </row>
    <row r="115" spans="1:8" x14ac:dyDescent="0.15">
      <c r="A115" s="1">
        <v>45957</v>
      </c>
      <c r="B115" t="s">
        <v>3</v>
      </c>
      <c r="C115" s="5">
        <f>6690/36</f>
        <v>185.83333333333334</v>
      </c>
      <c r="D115" s="4">
        <f t="shared" si="9"/>
        <v>0.12905092592592593</v>
      </c>
      <c r="E115" s="5">
        <f>4238.8/36</f>
        <v>117.74444444444445</v>
      </c>
      <c r="F115" s="5">
        <f>1121.63/36</f>
        <v>31.156388888888891</v>
      </c>
      <c r="G115" s="5">
        <f>4238.8/(6690/60)</f>
        <v>38.016143497757852</v>
      </c>
      <c r="H115" s="5">
        <f>169/36</f>
        <v>4.6944444444444446</v>
      </c>
    </row>
    <row r="116" spans="1:8" x14ac:dyDescent="0.15">
      <c r="A116" s="1">
        <v>45958</v>
      </c>
      <c r="B116" t="s">
        <v>2</v>
      </c>
      <c r="C116" s="5">
        <f>16362/126</f>
        <v>129.85714285714286</v>
      </c>
      <c r="D116" s="4">
        <f t="shared" si="9"/>
        <v>9.0178571428571427E-2</v>
      </c>
      <c r="E116" s="5">
        <f>8548.61/126</f>
        <v>67.846111111111114</v>
      </c>
      <c r="F116" s="5">
        <f>2855.65/126</f>
        <v>22.663888888888888</v>
      </c>
      <c r="G116" s="5">
        <f>8548.61/(16362/60)</f>
        <v>31.34803813714705</v>
      </c>
      <c r="H116" s="5">
        <f>383/126</f>
        <v>3.0396825396825395</v>
      </c>
    </row>
    <row r="117" spans="1:8" x14ac:dyDescent="0.15">
      <c r="A117" s="1">
        <v>45958</v>
      </c>
      <c r="B117" t="s">
        <v>3</v>
      </c>
      <c r="C117" s="5">
        <f>5662/36</f>
        <v>157.27777777777777</v>
      </c>
      <c r="D117" s="4">
        <f t="shared" si="9"/>
        <v>0.10922067901234568</v>
      </c>
      <c r="E117" s="5">
        <f>4029.96/36</f>
        <v>111.94333333333333</v>
      </c>
      <c r="F117" s="5">
        <f>995.91/36</f>
        <v>27.664166666666667</v>
      </c>
      <c r="G117" s="5">
        <f>4029.96/(5662/60)</f>
        <v>42.705333804309433</v>
      </c>
      <c r="H117" s="5">
        <f>142/36</f>
        <v>3.9444444444444446</v>
      </c>
    </row>
    <row r="118" spans="1:8" x14ac:dyDescent="0.15">
      <c r="A118" s="1">
        <v>45959</v>
      </c>
      <c r="B118" t="s">
        <v>2</v>
      </c>
      <c r="C118" s="5">
        <f>15781/126</f>
        <v>125.24603174603175</v>
      </c>
      <c r="D118" s="4">
        <f>C118/(24*60)</f>
        <v>8.6976410934744272E-2</v>
      </c>
      <c r="E118" s="5">
        <f>8701.28/126</f>
        <v>69.057777777777787</v>
      </c>
      <c r="F118" s="5">
        <f>2963.49/126</f>
        <v>23.519761904761904</v>
      </c>
      <c r="G118" s="5">
        <f>8701.28/(15781/60)</f>
        <v>33.08261833850834</v>
      </c>
      <c r="H118" s="5">
        <f>381/126</f>
        <v>3.0238095238095237</v>
      </c>
    </row>
    <row r="119" spans="1:8" x14ac:dyDescent="0.15">
      <c r="A119" s="1">
        <v>45959</v>
      </c>
      <c r="B119" t="s">
        <v>3</v>
      </c>
      <c r="C119" s="5">
        <f>5606/36</f>
        <v>155.72222222222223</v>
      </c>
      <c r="D119" s="4">
        <f>C119/(24*60)</f>
        <v>0.10814043209876543</v>
      </c>
      <c r="E119" s="5">
        <f>3363.35/36</f>
        <v>93.42638888888888</v>
      </c>
      <c r="F119" s="5">
        <f>933.96/36</f>
        <v>25.943333333333335</v>
      </c>
      <c r="G119" s="5">
        <f>3363.35/(5606/60)</f>
        <v>35.997324295397789</v>
      </c>
      <c r="H119" s="5">
        <f>134/36</f>
        <v>3.7222222222222223</v>
      </c>
    </row>
    <row r="120" spans="1:8" x14ac:dyDescent="0.15">
      <c r="A120" s="1">
        <v>45960</v>
      </c>
      <c r="B120" t="s">
        <v>2</v>
      </c>
      <c r="C120" s="5">
        <f>15744/126</f>
        <v>124.95238095238095</v>
      </c>
      <c r="D120" s="4">
        <f>C120/(24*60)</f>
        <v>8.6772486772486765E-2</v>
      </c>
      <c r="E120" s="5">
        <f>8563.6/126</f>
        <v>67.965079365079362</v>
      </c>
      <c r="F120" s="5">
        <f>2853.81/126</f>
        <v>22.649285714285714</v>
      </c>
      <c r="G120" s="5">
        <f>8563.6/(15744/60)</f>
        <v>32.635670731707322</v>
      </c>
      <c r="H120" s="5">
        <f>274/126</f>
        <v>2.1746031746031744</v>
      </c>
    </row>
    <row r="121" spans="1:8" x14ac:dyDescent="0.15">
      <c r="A121" s="1">
        <v>45960</v>
      </c>
      <c r="B121" t="s">
        <v>3</v>
      </c>
      <c r="C121" s="5">
        <f>5958/36</f>
        <v>165.5</v>
      </c>
      <c r="D121" s="4">
        <f>C121/(24*60)</f>
        <v>0.11493055555555555</v>
      </c>
      <c r="E121" s="5">
        <f>4109/36</f>
        <v>114.13888888888889</v>
      </c>
      <c r="F121" s="5">
        <f>1031.23/36</f>
        <v>28.645277777777778</v>
      </c>
      <c r="G121" s="5">
        <f>4109/(5958/60)</f>
        <v>41.379657603222562</v>
      </c>
      <c r="H121" s="5">
        <f>150/36</f>
        <v>4.166666666666667</v>
      </c>
    </row>
    <row r="122" spans="1:8" x14ac:dyDescent="0.15">
      <c r="A122" s="1">
        <v>45961</v>
      </c>
      <c r="B122" t="s">
        <v>2</v>
      </c>
      <c r="C122" s="5">
        <f>17904/126</f>
        <v>142.0952380952381</v>
      </c>
      <c r="D122" s="4">
        <f>C122/(24*60)</f>
        <v>9.8677248677248683E-2</v>
      </c>
      <c r="E122" s="5">
        <f>9541.25/126</f>
        <v>75.724206349206355</v>
      </c>
      <c r="F122" s="5">
        <f>3130.66/126</f>
        <v>24.846507936507937</v>
      </c>
      <c r="G122" s="5">
        <f>9541.25/(17904/60)</f>
        <v>31.974698391420915</v>
      </c>
      <c r="H122" s="5">
        <f>405/126</f>
        <v>3.2142857142857144</v>
      </c>
    </row>
    <row r="123" spans="1:8" x14ac:dyDescent="0.15">
      <c r="A123" s="1">
        <v>45961</v>
      </c>
      <c r="B123" t="s">
        <v>3</v>
      </c>
      <c r="C123" s="5">
        <f>6997/36</f>
        <v>194.36111111111111</v>
      </c>
      <c r="D123" s="4">
        <f>C123/(24*60)</f>
        <v>0.13497299382716049</v>
      </c>
      <c r="E123" s="5">
        <f>5003.73/36</f>
        <v>138.99249999999998</v>
      </c>
      <c r="F123" s="5">
        <f>1323.97/36</f>
        <v>36.776944444444446</v>
      </c>
      <c r="G123" s="5">
        <f>5003.73/(6997/60)</f>
        <v>42.907503215663851</v>
      </c>
      <c r="H123" s="5">
        <f>177/36</f>
        <v>4.916666666666667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2" sqref="H12"/>
    </sheetView>
  </sheetViews>
  <sheetFormatPr defaultRowHeight="13.5" x14ac:dyDescent="0.15"/>
  <cols>
    <col min="1" max="1" width="23.875" customWidth="1"/>
    <col min="2" max="2" width="25" customWidth="1"/>
    <col min="4" max="4" width="14.5" customWidth="1"/>
    <col min="5" max="5" width="11.375" customWidth="1"/>
    <col min="6" max="6" width="15.375" customWidth="1"/>
    <col min="7" max="7" width="16.75" customWidth="1"/>
    <col min="8" max="8" width="23.125" customWidth="1"/>
    <col min="9" max="9" width="13.75" customWidth="1"/>
    <col min="10" max="10" width="15.5" customWidth="1"/>
    <col min="11" max="11" width="14" customWidth="1"/>
  </cols>
  <sheetData>
    <row r="1" spans="1:11" ht="33" customHeight="1" x14ac:dyDescent="0.15">
      <c r="A1" s="8" t="s">
        <v>10</v>
      </c>
      <c r="B1" s="8" t="s">
        <v>11</v>
      </c>
      <c r="C1" s="8" t="s">
        <v>12</v>
      </c>
      <c r="D1" s="8" t="s">
        <v>23</v>
      </c>
      <c r="E1" s="8" t="s">
        <v>22</v>
      </c>
      <c r="F1" s="8" t="s">
        <v>24</v>
      </c>
      <c r="G1" s="8" t="s">
        <v>25</v>
      </c>
      <c r="H1" s="8" t="s">
        <v>26</v>
      </c>
      <c r="I1" s="8" t="s">
        <v>20</v>
      </c>
      <c r="J1" s="8" t="s">
        <v>21</v>
      </c>
      <c r="K1" s="8" t="s">
        <v>27</v>
      </c>
    </row>
    <row r="2" spans="1:11" ht="33" customHeight="1" x14ac:dyDescent="0.15">
      <c r="A2" s="8" t="s">
        <v>13</v>
      </c>
      <c r="B2" s="8" t="s">
        <v>17</v>
      </c>
      <c r="C2" s="8" t="s">
        <v>19</v>
      </c>
      <c r="D2" s="8">
        <v>3590</v>
      </c>
      <c r="E2" s="8">
        <v>49</v>
      </c>
      <c r="F2" s="8"/>
      <c r="G2" s="8"/>
      <c r="H2" s="8"/>
      <c r="I2" s="8"/>
      <c r="J2" s="8"/>
      <c r="K2" s="8"/>
    </row>
    <row r="3" spans="1:11" ht="33" customHeight="1" x14ac:dyDescent="0.15">
      <c r="A3" s="8" t="s">
        <v>14</v>
      </c>
      <c r="B3" s="8" t="s">
        <v>17</v>
      </c>
      <c r="C3" s="8" t="s">
        <v>19</v>
      </c>
      <c r="D3" s="8">
        <v>4200</v>
      </c>
      <c r="E3" s="8">
        <v>69</v>
      </c>
      <c r="F3" s="8"/>
      <c r="G3" s="8"/>
      <c r="H3" s="8"/>
      <c r="I3" s="8"/>
      <c r="J3" s="8"/>
      <c r="K3" s="8"/>
    </row>
    <row r="4" spans="1:11" ht="33" customHeight="1" x14ac:dyDescent="0.15">
      <c r="A4" s="8" t="s">
        <v>15</v>
      </c>
      <c r="B4" s="8" t="s">
        <v>17</v>
      </c>
      <c r="C4" s="8" t="s">
        <v>19</v>
      </c>
      <c r="D4" s="8">
        <v>1200</v>
      </c>
      <c r="E4" s="8">
        <v>24</v>
      </c>
      <c r="F4" s="8"/>
      <c r="G4" s="8"/>
      <c r="H4" s="8"/>
      <c r="I4" s="8"/>
      <c r="J4" s="8"/>
      <c r="K4" s="8"/>
    </row>
    <row r="5" spans="1:11" ht="33" customHeight="1" x14ac:dyDescent="0.15">
      <c r="A5" s="8" t="s">
        <v>16</v>
      </c>
      <c r="B5" s="8" t="s">
        <v>18</v>
      </c>
      <c r="C5" s="8" t="s">
        <v>19</v>
      </c>
      <c r="D5" s="8">
        <v>2160</v>
      </c>
      <c r="E5" s="8">
        <v>36</v>
      </c>
      <c r="F5" s="8"/>
      <c r="G5" s="8"/>
      <c r="H5" s="8"/>
      <c r="I5" s="8"/>
      <c r="J5" s="8"/>
      <c r="K5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2025-11-01T00:47:10Z</dcterms:modified>
</cp:coreProperties>
</file>