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硕士毕设\硕士毕业\"/>
    </mc:Choice>
  </mc:AlternateContent>
  <xr:revisionPtr revIDLastSave="0" documentId="8_{9461A0C7-AA88-48F8-BA0A-09196E450724}" xr6:coauthVersionLast="47" xr6:coauthVersionMax="47" xr10:uidLastSave="{00000000-0000-0000-0000-000000000000}"/>
  <bookViews>
    <workbookView xWindow="22932" yWindow="-108" windowWidth="30936" windowHeight="16896" xr2:uid="{1B0D1B4B-0BC1-48E7-91D1-987DBA381E15}"/>
  </bookViews>
  <sheets>
    <sheet name="功耗计算(10ms) huali_powergat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" l="1"/>
  <c r="Q30" i="2"/>
  <c r="I30" i="2"/>
  <c r="Q29" i="2"/>
  <c r="I29" i="2"/>
  <c r="T23" i="2"/>
  <c r="P23" i="2"/>
  <c r="I23" i="2"/>
  <c r="E23" i="2"/>
  <c r="Q22" i="2"/>
  <c r="O22" i="2"/>
  <c r="F22" i="2"/>
  <c r="H29" i="2" s="1"/>
  <c r="D22" i="2"/>
  <c r="P21" i="2"/>
  <c r="E21" i="2"/>
  <c r="S20" i="2"/>
  <c r="S23" i="2" s="1"/>
  <c r="P20" i="2"/>
  <c r="H20" i="2"/>
  <c r="H23" i="2" s="1"/>
  <c r="E20" i="2"/>
  <c r="Y13" i="2"/>
  <c r="T13" i="2"/>
  <c r="R13" i="2"/>
  <c r="O13" i="2"/>
  <c r="S13" i="2" s="1"/>
  <c r="I13" i="2"/>
  <c r="D13" i="2"/>
  <c r="O11" i="2"/>
  <c r="S29" i="2" s="1"/>
  <c r="D11" i="2"/>
  <c r="Q5" i="2"/>
  <c r="F5" i="2"/>
  <c r="Q4" i="2"/>
  <c r="F4" i="2"/>
  <c r="B2" i="2"/>
  <c r="B1" i="2"/>
  <c r="F6" i="2" l="1"/>
  <c r="G29" i="2" s="1"/>
  <c r="R21" i="2"/>
  <c r="P22" i="2"/>
  <c r="S30" i="2" s="1"/>
  <c r="P30" i="2" s="1"/>
  <c r="Q6" i="2"/>
  <c r="Z13" i="2"/>
  <c r="G22" i="2"/>
  <c r="R23" i="2"/>
  <c r="O25" i="2" s="1"/>
  <c r="R22" i="2"/>
  <c r="F30" i="2"/>
  <c r="E22" i="2"/>
  <c r="H30" i="2" s="1"/>
  <c r="E30" i="2" s="1"/>
  <c r="I31" i="2"/>
  <c r="Q31" i="2"/>
  <c r="S31" i="2"/>
  <c r="O29" i="2"/>
  <c r="R29" i="2"/>
  <c r="R31" i="2" s="1"/>
  <c r="G30" i="2"/>
  <c r="G31" i="2" s="1"/>
  <c r="D29" i="2"/>
  <c r="R30" i="2"/>
  <c r="H31" i="2"/>
  <c r="E29" i="2"/>
  <c r="E31" i="2" s="1"/>
  <c r="R20" i="2"/>
  <c r="D30" i="2"/>
  <c r="O30" i="2"/>
  <c r="G20" i="2"/>
  <c r="T29" i="2"/>
  <c r="T30" i="2"/>
  <c r="F29" i="2"/>
  <c r="F31" i="2" s="1"/>
  <c r="G21" i="2"/>
  <c r="G23" i="2"/>
  <c r="D25" i="2" s="1"/>
  <c r="D31" i="2" l="1"/>
  <c r="G32" i="2" s="1"/>
  <c r="D34" i="2"/>
  <c r="T31" i="2"/>
  <c r="T32" i="2" s="1"/>
  <c r="I32" i="2"/>
  <c r="F32" i="2"/>
  <c r="R32" i="2"/>
  <c r="E32" i="2"/>
  <c r="O31" i="2"/>
  <c r="S32" i="2"/>
  <c r="P29" i="2"/>
  <c r="P31" i="2" s="1"/>
  <c r="P32" i="2" s="1"/>
  <c r="H32" i="2" l="1"/>
  <c r="O34" i="2"/>
  <c r="Q32" i="2"/>
</calcChain>
</file>

<file path=xl/sharedStrings.xml><?xml version="1.0" encoding="utf-8"?>
<sst xmlns="http://schemas.openxmlformats.org/spreadsheetml/2006/main" count="80" uniqueCount="39">
  <si>
    <t>ADC功耗计算</t>
    <phoneticPr fontId="2" type="noConversion"/>
  </si>
  <si>
    <t>存算阵列功耗计算</t>
    <phoneticPr fontId="2" type="noConversion"/>
  </si>
  <si>
    <t>buf</t>
    <phoneticPr fontId="2" type="noConversion"/>
  </si>
  <si>
    <t>计算电路</t>
    <phoneticPr fontId="2" type="noConversion"/>
  </si>
  <si>
    <t>存算静态功耗</t>
    <phoneticPr fontId="2" type="noConversion"/>
  </si>
  <si>
    <t>已经乘比例</t>
    <phoneticPr fontId="2" type="noConversion"/>
  </si>
  <si>
    <t>单位</t>
    <phoneticPr fontId="2" type="noConversion"/>
  </si>
  <si>
    <t>us/uw</t>
    <phoneticPr fontId="2" type="noConversion"/>
  </si>
  <si>
    <t>指令条数</t>
    <phoneticPr fontId="2" type="noConversion"/>
  </si>
  <si>
    <t>运行时间占比</t>
    <phoneticPr fontId="2" type="noConversion"/>
  </si>
  <si>
    <t>每次存算时间</t>
    <phoneticPr fontId="2" type="noConversion"/>
  </si>
  <si>
    <t>存算峰值功耗</t>
    <phoneticPr fontId="2" type="noConversion"/>
  </si>
  <si>
    <t>稀疏度</t>
    <phoneticPr fontId="2" type="noConversion"/>
  </si>
  <si>
    <t>ADC功耗</t>
    <phoneticPr fontId="2" type="noConversion"/>
  </si>
  <si>
    <t>存算调用次数</t>
    <phoneticPr fontId="2" type="noConversion"/>
  </si>
  <si>
    <t>存算动态功耗</t>
    <phoneticPr fontId="2" type="noConversion"/>
  </si>
  <si>
    <t>存算上下电功耗</t>
    <phoneticPr fontId="2" type="noConversion"/>
  </si>
  <si>
    <t>存算功耗</t>
    <phoneticPr fontId="2" type="noConversion"/>
  </si>
  <si>
    <t>存内计算核吞吐量（Gops）</t>
    <phoneticPr fontId="2" type="noConversion"/>
  </si>
  <si>
    <t>存内计算核能效(GOPS/W)</t>
    <phoneticPr fontId="2" type="noConversion"/>
  </si>
  <si>
    <t>regulator功耗</t>
    <phoneticPr fontId="4" type="noConversion"/>
  </si>
  <si>
    <t>regulator因子</t>
    <phoneticPr fontId="4" type="noConversion"/>
  </si>
  <si>
    <t>峰值功耗</t>
    <phoneticPr fontId="2" type="noConversion"/>
  </si>
  <si>
    <t>动态功耗</t>
    <phoneticPr fontId="2" type="noConversion"/>
  </si>
  <si>
    <t>静态功耗</t>
    <phoneticPr fontId="2" type="noConversion"/>
  </si>
  <si>
    <t>工作模式下功耗</t>
    <phoneticPr fontId="2" type="noConversion"/>
  </si>
  <si>
    <t>power gating后静态功耗</t>
    <phoneticPr fontId="2" type="noConversion"/>
  </si>
  <si>
    <t>上下电功耗</t>
    <phoneticPr fontId="2" type="noConversion"/>
  </si>
  <si>
    <t>存储器</t>
    <phoneticPr fontId="2" type="noConversion"/>
  </si>
  <si>
    <t>时序器件</t>
    <phoneticPr fontId="2" type="noConversion"/>
  </si>
  <si>
    <t>组合逻辑</t>
    <phoneticPr fontId="2" type="noConversion"/>
  </si>
  <si>
    <t>数字部分总体</t>
    <phoneticPr fontId="2" type="noConversion"/>
  </si>
  <si>
    <t>总功耗</t>
    <phoneticPr fontId="2" type="noConversion"/>
  </si>
  <si>
    <t>整体</t>
    <phoneticPr fontId="2" type="noConversion"/>
  </si>
  <si>
    <t>标准单元</t>
    <phoneticPr fontId="2" type="noConversion"/>
  </si>
  <si>
    <t>存内计算核</t>
    <phoneticPr fontId="2" type="noConversion"/>
  </si>
  <si>
    <t>时序逻辑</t>
    <phoneticPr fontId="2" type="noConversion"/>
  </si>
  <si>
    <t>比例</t>
    <phoneticPr fontId="2" type="noConversion"/>
  </si>
  <si>
    <t>核验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</si>
</sst>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1" fillId="2" borderId="0" xfId="1" applyFill="1" applyAlignment="1">
      <alignment vertical="center" wrapText="1"/>
    </xf>
    <xf numFmtId="0" fontId="1" fillId="0" borderId="0" xfId="1">
      <alignment vertical="center"/>
    </xf>
    <xf numFmtId="0" fontId="1" fillId="0" borderId="0" xfId="1" applyNumberFormat="1" applyAlignment="1">
      <alignment vertical="center" wrapText="1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5" fillId="3" borderId="0" xfId="1" applyFont="1" applyFill="1" applyAlignment="1">
      <alignment vertical="center" wrapText="1"/>
    </xf>
  </cellXfs>
  <cellStyles count="2">
    <cellStyle name="常规" xfId="0" builtinId="0"/>
    <cellStyle name="常规 2" xfId="1" xr:uid="{08D26952-F1A2-4FB3-A0A7-08335AE97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r>
              <a:rPr lang="zh-CN" altLang="en-US" b="1">
                <a:latin typeface="FangSong" panose="02010609060101010101" pitchFamily="49" charset="-122"/>
                <a:ea typeface="FangSong" panose="02010609060101010101" pitchFamily="49" charset="-122"/>
              </a:rPr>
              <a:t>功耗分布类型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'功耗计算(10ms) huali_powergating'!$D$28</c:f>
              <c:strCache>
                <c:ptCount val="1"/>
                <c:pt idx="0">
                  <c:v>整体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E-416B-8FFC-6A45294CD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E-416B-8FFC-6A45294CDFA1}"/>
              </c:ext>
            </c:extLst>
          </c:dPt>
          <c:cat>
            <c:strRef>
              <c:f>'功耗计算(10ms) huali_powergating'!$C$29:$C$30</c:f>
              <c:strCache>
                <c:ptCount val="2"/>
                <c:pt idx="0">
                  <c:v>静态功耗</c:v>
                </c:pt>
                <c:pt idx="1">
                  <c:v>动态功耗</c:v>
                </c:pt>
              </c:strCache>
            </c:strRef>
          </c:cat>
          <c:val>
            <c:numRef>
              <c:f>'功耗计算(10ms) huali_powergating'!$D$29:$D$30</c:f>
              <c:numCache>
                <c:formatCode>General</c:formatCode>
                <c:ptCount val="2"/>
                <c:pt idx="0">
                  <c:v>1.8117535464000003</c:v>
                </c:pt>
                <c:pt idx="1">
                  <c:v>3.1839954400000003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E-416B-8FFC-6A45294C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r>
              <a:rPr lang="zh-CN" altLang="en-US" b="1">
                <a:latin typeface="FangSong" panose="02010609060101010101" pitchFamily="49" charset="-122"/>
                <a:ea typeface="FangSong" panose="02010609060101010101" pitchFamily="49" charset="-122"/>
              </a:rPr>
              <a:t>功耗模块分布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0-4C6A-BF08-120519F2B4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0-4C6A-BF08-120519F2B4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0-4C6A-BF08-120519F2B4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0-4C6A-BF08-120519F2B42F}"/>
              </c:ext>
            </c:extLst>
          </c:dPt>
          <c:cat>
            <c:strRef>
              <c:f>'功耗计算(10ms) huali_powergating'!$F$28:$I$28</c:f>
              <c:strCache>
                <c:ptCount val="4"/>
                <c:pt idx="0">
                  <c:v>存储器</c:v>
                </c:pt>
                <c:pt idx="1">
                  <c:v>存内计算核</c:v>
                </c:pt>
                <c:pt idx="2">
                  <c:v>组合逻辑</c:v>
                </c:pt>
                <c:pt idx="3">
                  <c:v>时序逻辑</c:v>
                </c:pt>
              </c:strCache>
            </c:strRef>
          </c:cat>
          <c:val>
            <c:numRef>
              <c:f>'功耗计算(10ms) huali_powergating'!$F$31:$I$31</c:f>
              <c:numCache>
                <c:formatCode>General</c:formatCode>
                <c:ptCount val="4"/>
                <c:pt idx="0">
                  <c:v>1.451994</c:v>
                </c:pt>
                <c:pt idx="1">
                  <c:v>2.7652333864000003</c:v>
                </c:pt>
                <c:pt idx="2">
                  <c:v>0.41905248</c:v>
                </c:pt>
                <c:pt idx="3">
                  <c:v>0.35946912000000003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0-4C6A-BF08-120519F2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r>
              <a:rPr lang="zh-CN" altLang="zh-CN" sz="1600" b="1" i="0" baseline="0">
                <a:effectLst/>
                <a:latin typeface="FangSong" panose="02010609060101010101" pitchFamily="49" charset="-122"/>
                <a:ea typeface="FangSong" panose="02010609060101010101" pitchFamily="49" charset="-122"/>
              </a:rPr>
              <a:t>功耗模块分布</a:t>
            </a:r>
            <a:endParaRPr lang="zh-CN" altLang="zh-CN" sz="1200" b="1">
              <a:effectLst/>
              <a:latin typeface="FangSong" panose="02010609060101010101" pitchFamily="49" charset="-122"/>
              <a:ea typeface="FangSong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D-4E3C-994B-5B0800F7F5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D-4E3C-994B-5B0800F7F5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3D-4E3C-994B-5B0800F7F5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3D-4E3C-994B-5B0800F7F5D0}"/>
              </c:ext>
            </c:extLst>
          </c:dPt>
          <c:cat>
            <c:strRef>
              <c:f>'功耗计算(10ms) huali_powergating'!$Q$28:$T$28</c:f>
              <c:strCache>
                <c:ptCount val="4"/>
                <c:pt idx="0">
                  <c:v>存储器</c:v>
                </c:pt>
                <c:pt idx="1">
                  <c:v>存内计算核</c:v>
                </c:pt>
                <c:pt idx="2">
                  <c:v>组合逻辑</c:v>
                </c:pt>
                <c:pt idx="3">
                  <c:v>时序逻辑</c:v>
                </c:pt>
              </c:strCache>
            </c:strRef>
          </c:cat>
          <c:val>
            <c:numRef>
              <c:f>'功耗计算(10ms) huali_powergating'!$Q$31:$T$31</c:f>
              <c:numCache>
                <c:formatCode>General</c:formatCode>
                <c:ptCount val="4"/>
                <c:pt idx="0">
                  <c:v>1.3142940000000001</c:v>
                </c:pt>
                <c:pt idx="1">
                  <c:v>0.85595084320000003</c:v>
                </c:pt>
                <c:pt idx="2">
                  <c:v>0.14149824</c:v>
                </c:pt>
                <c:pt idx="3">
                  <c:v>0.33200256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3D-4E3C-994B-5B0800F7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r>
              <a:rPr lang="zh-CN" altLang="en-US" b="1">
                <a:latin typeface="FangSong" panose="02010609060101010101" pitchFamily="49" charset="-122"/>
                <a:ea typeface="FangSong" panose="02010609060101010101" pitchFamily="49" charset="-122"/>
              </a:rPr>
              <a:t>功耗分布类型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8-4458-B052-A0B080950E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8-4458-B052-A0B080950E36}"/>
              </c:ext>
            </c:extLst>
          </c:dPt>
          <c:cat>
            <c:strRef>
              <c:f>'功耗计算(10ms) huali_powergating'!$N$29:$N$30</c:f>
              <c:strCache>
                <c:ptCount val="2"/>
                <c:pt idx="0">
                  <c:v>静态功耗</c:v>
                </c:pt>
                <c:pt idx="1">
                  <c:v>动态功耗</c:v>
                </c:pt>
              </c:strCache>
            </c:strRef>
          </c:cat>
          <c:val>
            <c:numRef>
              <c:f>'功耗计算(10ms) huali_powergating'!$O$29:$O$30</c:f>
              <c:numCache>
                <c:formatCode>General</c:formatCode>
                <c:ptCount val="2"/>
                <c:pt idx="0">
                  <c:v>1.6245374832000001</c:v>
                </c:pt>
                <c:pt idx="1">
                  <c:v>1.01920816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8-4458-B052-A0B08095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877981</xdr:colOff>
      <xdr:row>37</xdr:row>
      <xdr:rowOff>50427</xdr:rowOff>
    </xdr:from>
    <xdr:to>
      <xdr:col>10</xdr:col>
      <xdr:colOff>596994</xdr:colOff>
      <xdr:row>52</xdr:row>
      <xdr:rowOff>82364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B173B-BFDB-43C7-A6A1-70863B1C7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104776</xdr:colOff>
      <xdr:row>37</xdr:row>
      <xdr:rowOff>35298</xdr:rowOff>
    </xdr:from>
    <xdr:to>
      <xdr:col>5</xdr:col>
      <xdr:colOff>780490</xdr:colOff>
      <xdr:row>52</xdr:row>
      <xdr:rowOff>57709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2D3CD9-8789-49E7-9EED-B2DB27EA1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124810</xdr:colOff>
      <xdr:row>34</xdr:row>
      <xdr:rowOff>165539</xdr:rowOff>
    </xdr:from>
    <xdr:to>
      <xdr:col>18</xdr:col>
      <xdr:colOff>210207</xdr:colOff>
      <xdr:row>49</xdr:row>
      <xdr:rowOff>149773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C92F99-CD46-468F-BD96-606C49316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332977</xdr:colOff>
      <xdr:row>35</xdr:row>
      <xdr:rowOff>3180</xdr:rowOff>
    </xdr:from>
    <xdr:to>
      <xdr:col>24</xdr:col>
      <xdr:colOff>523273</xdr:colOff>
      <xdr:row>50</xdr:row>
      <xdr:rowOff>4499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2867DB-B508-4B34-ABD6-207C2287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E3A6-5238-4D3E-8555-B22CF4848512}">
  <dimension ref="A1:Z34"/>
  <sheetViews>
    <sheetView tabSelected="1" topLeftCell="B1" zoomScale="115" zoomScaleNormal="115" workbookViewId="0">
      <selection activeCell="I15" sqref="I15"/>
    </sheetView>
  </sheetViews>
  <sheetFormatPr defaultColWidth="9" defaultRowHeight="13.8" x14ac:dyDescent="0.25"/>
  <cols>
    <col min="1" max="3" width="9" style="1"/>
    <col min="4" max="9" width="12.109375" style="1" bestFit="1" customWidth="1"/>
    <col min="10" max="14" width="9" style="1"/>
    <col min="15" max="15" width="12.109375" style="1" bestFit="1" customWidth="1"/>
    <col min="16" max="17" width="9" style="1"/>
    <col min="18" max="18" width="10.88671875" style="1" bestFit="1" customWidth="1"/>
    <col min="19" max="19" width="12.109375" style="1" bestFit="1" customWidth="1"/>
    <col min="20" max="25" width="9" style="1"/>
    <col min="26" max="26" width="12.109375" style="1" bestFit="1" customWidth="1"/>
    <col min="27" max="16384" width="9" style="1"/>
  </cols>
  <sheetData>
    <row r="1" spans="1:26" ht="27.6" x14ac:dyDescent="0.25">
      <c r="A1" s="1" t="s">
        <v>0</v>
      </c>
      <c r="B1" s="1">
        <f>5.31*330/2400*16</f>
        <v>11.682</v>
      </c>
    </row>
    <row r="2" spans="1:26" ht="27.6" x14ac:dyDescent="0.25">
      <c r="A2" s="1" t="s">
        <v>1</v>
      </c>
      <c r="B2" s="2">
        <f>1*256*12*180/2400*16</f>
        <v>3686.4</v>
      </c>
    </row>
    <row r="4" spans="1:26" x14ac:dyDescent="0.25">
      <c r="E4" s="1" t="s">
        <v>2</v>
      </c>
      <c r="F4" s="1">
        <f>4.43*1/1000</f>
        <v>4.4299999999999999E-3</v>
      </c>
      <c r="P4" s="1" t="s">
        <v>2</v>
      </c>
      <c r="Q4" s="1">
        <f>4.43*1/1000</f>
        <v>4.4299999999999999E-3</v>
      </c>
    </row>
    <row r="5" spans="1:26" x14ac:dyDescent="0.25">
      <c r="E5" s="1" t="s">
        <v>3</v>
      </c>
      <c r="F5" s="1">
        <f>441*1/1000*16</f>
        <v>7.056</v>
      </c>
      <c r="P5" s="1" t="s">
        <v>3</v>
      </c>
      <c r="Q5" s="1">
        <f>441*1/1000*16</f>
        <v>7.056</v>
      </c>
    </row>
    <row r="6" spans="1:26" ht="27.6" x14ac:dyDescent="0.25">
      <c r="E6" s="1" t="s">
        <v>4</v>
      </c>
      <c r="F6" s="3">
        <f>(F4+F5)*D11</f>
        <v>0.13047674640000001</v>
      </c>
      <c r="G6" s="1" t="s">
        <v>5</v>
      </c>
      <c r="P6" s="1" t="s">
        <v>4</v>
      </c>
      <c r="Q6" s="3">
        <f>(Q4+Q5)*O11</f>
        <v>4.40570832E-2</v>
      </c>
      <c r="R6" s="1" t="s">
        <v>5</v>
      </c>
    </row>
    <row r="7" spans="1:26" x14ac:dyDescent="0.25">
      <c r="A7" s="1" t="s">
        <v>6</v>
      </c>
      <c r="B7" s="1" t="s">
        <v>7</v>
      </c>
    </row>
    <row r="10" spans="1:26" ht="31.5" customHeight="1" x14ac:dyDescent="0.25">
      <c r="C10" s="1" t="s">
        <v>8</v>
      </c>
      <c r="D10" s="1" t="s">
        <v>9</v>
      </c>
      <c r="N10" s="1" t="s">
        <v>8</v>
      </c>
      <c r="O10" s="1" t="s">
        <v>9</v>
      </c>
    </row>
    <row r="11" spans="1:26" x14ac:dyDescent="0.25">
      <c r="C11" s="1">
        <v>77</v>
      </c>
      <c r="D11" s="1">
        <f>C11*2.4/10000</f>
        <v>1.848E-2</v>
      </c>
      <c r="N11" s="1">
        <v>208</v>
      </c>
      <c r="O11" s="1">
        <f>100/8*N11*2.4/1000000</f>
        <v>6.2399999999999999E-3</v>
      </c>
    </row>
    <row r="12" spans="1:26" ht="25.5" customHeight="1" x14ac:dyDescent="0.25">
      <c r="C12" s="1" t="s">
        <v>10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N12" s="1" t="s">
        <v>10</v>
      </c>
      <c r="O12" s="1" t="s">
        <v>17</v>
      </c>
      <c r="P12" s="1" t="s">
        <v>12</v>
      </c>
      <c r="Q12" s="1" t="s">
        <v>13</v>
      </c>
      <c r="R12" s="1" t="s">
        <v>14</v>
      </c>
      <c r="S12" s="1" t="s">
        <v>15</v>
      </c>
      <c r="T12" s="1" t="s">
        <v>16</v>
      </c>
      <c r="Y12" s="1" t="s">
        <v>18</v>
      </c>
      <c r="Z12" s="1" t="s">
        <v>19</v>
      </c>
    </row>
    <row r="13" spans="1:26" x14ac:dyDescent="0.25">
      <c r="C13" s="1">
        <v>2.4</v>
      </c>
      <c r="D13" s="1">
        <f>230*16</f>
        <v>3680</v>
      </c>
      <c r="E13" s="1">
        <v>1.21E-2</v>
      </c>
      <c r="F13" s="1">
        <v>11.68</v>
      </c>
      <c r="G13" s="1">
        <v>1200</v>
      </c>
      <c r="H13" s="3">
        <f>G13*C13/1000000*(D13*E13+F13+F15*G15)</f>
        <v>2.6142566400000002</v>
      </c>
      <c r="I13" s="3">
        <f>0.0205</f>
        <v>2.0500000000000001E-2</v>
      </c>
      <c r="N13" s="1">
        <v>2.4</v>
      </c>
      <c r="O13" s="1">
        <f>230*16</f>
        <v>3680</v>
      </c>
      <c r="P13" s="4">
        <v>1.26E-2</v>
      </c>
      <c r="Q13" s="1">
        <v>11.68</v>
      </c>
      <c r="R13" s="1">
        <f>29/8*100</f>
        <v>362.5</v>
      </c>
      <c r="S13" s="3">
        <f>R13*N13/1000000*(O13*P13+Q13+Q15*R15)</f>
        <v>0.79139376000000006</v>
      </c>
      <c r="T13" s="3">
        <f>0.0205</f>
        <v>2.0500000000000001E-2</v>
      </c>
      <c r="Y13" s="1">
        <f>256*16/2400</f>
        <v>1.7066666666666668</v>
      </c>
      <c r="Z13" s="1">
        <f>Y13/(O13*10^(-6))</f>
        <v>463.76811594202906</v>
      </c>
    </row>
    <row r="14" spans="1:26" ht="27.6" x14ac:dyDescent="0.25">
      <c r="F14" s="1" t="s">
        <v>20</v>
      </c>
      <c r="G14" s="1" t="s">
        <v>21</v>
      </c>
      <c r="Q14" s="1" t="s">
        <v>20</v>
      </c>
      <c r="R14" s="1" t="s">
        <v>21</v>
      </c>
    </row>
    <row r="15" spans="1:26" x14ac:dyDescent="0.25">
      <c r="F15" s="1">
        <v>425.76</v>
      </c>
      <c r="G15" s="5">
        <v>2</v>
      </c>
      <c r="Q15" s="1">
        <v>425.8</v>
      </c>
      <c r="R15" s="5">
        <v>2</v>
      </c>
    </row>
    <row r="16" spans="1:26" x14ac:dyDescent="0.25">
      <c r="G16" s="1">
        <v>1.4167000000000001</v>
      </c>
      <c r="R16" s="1">
        <v>1.4167000000000001</v>
      </c>
    </row>
    <row r="19" spans="3:21" ht="27.6" x14ac:dyDescent="0.25"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O19" s="1" t="s">
        <v>22</v>
      </c>
      <c r="P19" s="1" t="s">
        <v>23</v>
      </c>
      <c r="Q19" s="1" t="s">
        <v>24</v>
      </c>
      <c r="R19" s="1" t="s">
        <v>25</v>
      </c>
      <c r="S19" s="1" t="s">
        <v>26</v>
      </c>
      <c r="T19" s="1" t="s">
        <v>27</v>
      </c>
    </row>
    <row r="20" spans="3:21" x14ac:dyDescent="0.25">
      <c r="C20" s="1" t="s">
        <v>28</v>
      </c>
      <c r="D20" s="1">
        <v>11.25</v>
      </c>
      <c r="E20" s="1">
        <f>D20-F20</f>
        <v>4.6319999999999997</v>
      </c>
      <c r="F20" s="1">
        <v>6.6180000000000003</v>
      </c>
      <c r="G20" s="1">
        <f>D20*D11</f>
        <v>0.2079</v>
      </c>
      <c r="H20" s="1">
        <f>F20*0.183</f>
        <v>1.2110940000000001</v>
      </c>
      <c r="N20" s="1" t="s">
        <v>28</v>
      </c>
      <c r="O20" s="1">
        <v>11.25</v>
      </c>
      <c r="P20" s="1">
        <f>O20-Q20</f>
        <v>4.6319999999999997</v>
      </c>
      <c r="Q20" s="1">
        <v>6.6180000000000003</v>
      </c>
      <c r="R20" s="1">
        <f>O20*O11</f>
        <v>7.0199999999999999E-2</v>
      </c>
      <c r="S20" s="1">
        <f>Q20*0.183</f>
        <v>1.2110940000000001</v>
      </c>
    </row>
    <row r="21" spans="3:21" x14ac:dyDescent="0.25">
      <c r="C21" s="1" t="s">
        <v>29</v>
      </c>
      <c r="D21" s="1">
        <v>2.2440000000000002</v>
      </c>
      <c r="E21" s="1">
        <f>D21-F21</f>
        <v>1.0160000000000002</v>
      </c>
      <c r="F21" s="1">
        <v>1.228</v>
      </c>
      <c r="G21" s="1">
        <f>D21*D11</f>
        <v>4.1469120000000005E-2</v>
      </c>
      <c r="H21" s="1">
        <v>0.318</v>
      </c>
      <c r="N21" s="1" t="s">
        <v>29</v>
      </c>
      <c r="O21" s="1">
        <v>2.2440000000000002</v>
      </c>
      <c r="P21" s="1">
        <f>O21-Q21</f>
        <v>1.0160000000000002</v>
      </c>
      <c r="Q21" s="1">
        <v>1.228</v>
      </c>
      <c r="R21" s="1">
        <f>O21*O11</f>
        <v>1.4002560000000001E-2</v>
      </c>
      <c r="S21" s="1">
        <v>0.318</v>
      </c>
    </row>
    <row r="22" spans="3:21" x14ac:dyDescent="0.25">
      <c r="C22" s="1" t="s">
        <v>30</v>
      </c>
      <c r="D22" s="1">
        <f>D23-D20-D21</f>
        <v>22.676000000000002</v>
      </c>
      <c r="E22" s="1">
        <f>E23-E20-E21</f>
        <v>22.287000000000003</v>
      </c>
      <c r="F22" s="1">
        <f>F23-F20-F21</f>
        <v>0.38899999999999912</v>
      </c>
      <c r="G22" s="1">
        <f>D22*D11</f>
        <v>0.41905248000000006</v>
      </c>
      <c r="H22" s="1">
        <v>0</v>
      </c>
      <c r="N22" s="1" t="s">
        <v>30</v>
      </c>
      <c r="O22" s="1">
        <f>O23-O20-O21</f>
        <v>22.676000000000002</v>
      </c>
      <c r="P22" s="1">
        <f>P23-P20-P21</f>
        <v>22.287000000000003</v>
      </c>
      <c r="Q22" s="1">
        <f>Q23-Q20-Q21</f>
        <v>0.38899999999999912</v>
      </c>
      <c r="R22" s="1">
        <f>O22*O11</f>
        <v>0.14149824</v>
      </c>
      <c r="S22" s="1">
        <v>0</v>
      </c>
    </row>
    <row r="23" spans="3:21" ht="27.6" x14ac:dyDescent="0.25">
      <c r="C23" s="1" t="s">
        <v>31</v>
      </c>
      <c r="D23" s="1">
        <v>36.17</v>
      </c>
      <c r="E23" s="1">
        <f>D23-F23</f>
        <v>27.935000000000002</v>
      </c>
      <c r="F23" s="1">
        <v>8.2349999999999994</v>
      </c>
      <c r="G23" s="3">
        <f>D23*D11</f>
        <v>0.66842160000000006</v>
      </c>
      <c r="H23" s="3">
        <f>SUM(H20:H22)</f>
        <v>1.5290940000000002</v>
      </c>
      <c r="I23" s="3">
        <f>0.033</f>
        <v>3.3000000000000002E-2</v>
      </c>
      <c r="N23" s="1" t="s">
        <v>31</v>
      </c>
      <c r="O23" s="1">
        <v>36.17</v>
      </c>
      <c r="P23" s="1">
        <f>O23-Q23</f>
        <v>27.935000000000002</v>
      </c>
      <c r="Q23" s="1">
        <v>8.2349999999999994</v>
      </c>
      <c r="R23" s="3">
        <f>O23*O11</f>
        <v>0.22570080000000001</v>
      </c>
      <c r="S23" s="3">
        <f>SUM(S20:S22)</f>
        <v>1.5290940000000002</v>
      </c>
      <c r="T23" s="3">
        <f>0.033</f>
        <v>3.3000000000000002E-2</v>
      </c>
    </row>
    <row r="25" spans="3:21" x14ac:dyDescent="0.25">
      <c r="C25" s="1" t="s">
        <v>32</v>
      </c>
      <c r="D25" s="1">
        <f>H13+G23+H23+I23+I13+F6</f>
        <v>4.9957489864000006</v>
      </c>
      <c r="N25" s="1" t="s">
        <v>32</v>
      </c>
      <c r="O25" s="1">
        <f>S13+R23+S23+T23+T13+Q6</f>
        <v>2.6437456431999999</v>
      </c>
    </row>
    <row r="28" spans="3:21" ht="14.4" x14ac:dyDescent="0.25">
      <c r="C28" s="6"/>
      <c r="D28" s="7" t="s">
        <v>33</v>
      </c>
      <c r="E28" s="7" t="s">
        <v>34</v>
      </c>
      <c r="F28" s="7" t="s">
        <v>28</v>
      </c>
      <c r="G28" s="7" t="s">
        <v>35</v>
      </c>
      <c r="H28" s="1" t="s">
        <v>30</v>
      </c>
      <c r="I28" s="1" t="s">
        <v>36</v>
      </c>
      <c r="N28" s="6"/>
      <c r="O28" s="7" t="s">
        <v>33</v>
      </c>
      <c r="P28" s="7" t="s">
        <v>34</v>
      </c>
      <c r="Q28" s="7" t="s">
        <v>28</v>
      </c>
      <c r="R28" s="7" t="s">
        <v>35</v>
      </c>
      <c r="S28" s="1" t="s">
        <v>30</v>
      </c>
      <c r="T28" s="1" t="s">
        <v>36</v>
      </c>
    </row>
    <row r="29" spans="3:21" ht="14.4" x14ac:dyDescent="0.25">
      <c r="C29" s="7" t="s">
        <v>24</v>
      </c>
      <c r="D29" s="6">
        <f>F23*D11+H23+F6</f>
        <v>1.8117535464000003</v>
      </c>
      <c r="E29" s="6">
        <f>H29+I29</f>
        <v>0.34788216</v>
      </c>
      <c r="F29" s="6">
        <f>F20*D11+H20</f>
        <v>1.3333946400000001</v>
      </c>
      <c r="G29" s="6">
        <f>F6</f>
        <v>0.13047674640000001</v>
      </c>
      <c r="H29" s="1">
        <f>F22*D11+H22</f>
        <v>7.1887199999999835E-3</v>
      </c>
      <c r="I29" s="1">
        <f>F21*D11+H21</f>
        <v>0.34069344000000001</v>
      </c>
      <c r="N29" s="7" t="s">
        <v>24</v>
      </c>
      <c r="O29" s="6">
        <f>Q23*O11+S23+Q6</f>
        <v>1.6245374832000001</v>
      </c>
      <c r="P29" s="6">
        <f>S29+T29</f>
        <v>0.32809008000000001</v>
      </c>
      <c r="Q29" s="6">
        <f>Q20*O11+S20</f>
        <v>1.2523903200000002</v>
      </c>
      <c r="R29" s="6">
        <f>Q6</f>
        <v>4.40570832E-2</v>
      </c>
      <c r="S29" s="1">
        <f>Q22*O11+S22</f>
        <v>2.4273599999999943E-3</v>
      </c>
      <c r="T29" s="1">
        <f>Q21*O11+S21</f>
        <v>0.32566272000000002</v>
      </c>
    </row>
    <row r="30" spans="3:21" ht="14.4" x14ac:dyDescent="0.25">
      <c r="C30" s="7" t="s">
        <v>23</v>
      </c>
      <c r="D30" s="6">
        <f>E23*D11+H13+I13+I23</f>
        <v>3.1839954400000003</v>
      </c>
      <c r="E30" s="6">
        <f>H30+I30</f>
        <v>0.43063944000000004</v>
      </c>
      <c r="F30" s="8">
        <f>E20*D11+I23</f>
        <v>0.11859936</v>
      </c>
      <c r="G30" s="8">
        <f>H13+I13</f>
        <v>2.6347566400000004</v>
      </c>
      <c r="H30" s="1">
        <f>E22*D11</f>
        <v>0.41186376000000002</v>
      </c>
      <c r="I30" s="1">
        <f>E21*D11</f>
        <v>1.8775680000000003E-2</v>
      </c>
      <c r="N30" s="7" t="s">
        <v>23</v>
      </c>
      <c r="O30" s="6">
        <f>P23*O11+S13+T13+T23</f>
        <v>1.01920816</v>
      </c>
      <c r="P30" s="6">
        <f>S30+T30</f>
        <v>0.14541072000000002</v>
      </c>
      <c r="Q30" s="8">
        <f>P20*O11+T23</f>
        <v>6.1903680000000003E-2</v>
      </c>
      <c r="R30" s="8">
        <f>S13+T13</f>
        <v>0.81189376000000002</v>
      </c>
      <c r="S30" s="1">
        <f>P22*O11</f>
        <v>0.13907088000000001</v>
      </c>
      <c r="T30" s="1">
        <f>P21*O11</f>
        <v>6.3398400000000011E-3</v>
      </c>
    </row>
    <row r="31" spans="3:21" ht="14.4" x14ac:dyDescent="0.25">
      <c r="C31" s="7" t="s">
        <v>32</v>
      </c>
      <c r="D31" s="6">
        <f t="shared" ref="D31:I31" si="0">SUM(D29:D30)</f>
        <v>4.9957489864000006</v>
      </c>
      <c r="E31" s="6">
        <f t="shared" si="0"/>
        <v>0.77852160000000004</v>
      </c>
      <c r="F31" s="6">
        <f t="shared" si="0"/>
        <v>1.451994</v>
      </c>
      <c r="G31" s="6">
        <f t="shared" si="0"/>
        <v>2.7652333864000003</v>
      </c>
      <c r="H31" s="6">
        <f t="shared" si="0"/>
        <v>0.41905248</v>
      </c>
      <c r="I31" s="6">
        <f t="shared" si="0"/>
        <v>0.35946912000000003</v>
      </c>
      <c r="J31" s="6"/>
      <c r="N31" s="7" t="s">
        <v>33</v>
      </c>
      <c r="O31" s="6">
        <f t="shared" ref="O31:T31" si="1">SUM(O29:O30)</f>
        <v>2.6437456431999999</v>
      </c>
      <c r="P31" s="6">
        <f t="shared" si="1"/>
        <v>0.47350080000000005</v>
      </c>
      <c r="Q31" s="6">
        <f t="shared" si="1"/>
        <v>1.3142940000000001</v>
      </c>
      <c r="R31" s="6">
        <f t="shared" si="1"/>
        <v>0.85595084320000003</v>
      </c>
      <c r="S31" s="6">
        <f t="shared" si="1"/>
        <v>0.14149824</v>
      </c>
      <c r="T31" s="6">
        <f t="shared" si="1"/>
        <v>0.33200256</v>
      </c>
      <c r="U31" s="6"/>
    </row>
    <row r="32" spans="3:21" x14ac:dyDescent="0.25">
      <c r="C32" s="1" t="s">
        <v>37</v>
      </c>
      <c r="E32" s="1">
        <f>E31/D31</f>
        <v>0.15583681288218856</v>
      </c>
      <c r="F32" s="1">
        <f>F31/D31</f>
        <v>0.2906459079414887</v>
      </c>
      <c r="G32" s="1">
        <f>G31/D31</f>
        <v>0.55351727917632265</v>
      </c>
      <c r="H32" s="1">
        <f>H31/D31</f>
        <v>8.3881812545184439E-2</v>
      </c>
      <c r="I32" s="1">
        <f>I31/D31</f>
        <v>7.1955000337004124E-2</v>
      </c>
      <c r="N32" s="1" t="s">
        <v>37</v>
      </c>
      <c r="P32" s="1">
        <f>P31/O31</f>
        <v>0.17910225260054627</v>
      </c>
      <c r="Q32" s="1">
        <f>Q31/O31</f>
        <v>0.49713330152638041</v>
      </c>
      <c r="R32" s="1">
        <f>R31/O31</f>
        <v>0.3237644458730734</v>
      </c>
      <c r="S32" s="1">
        <f>S31/O31</f>
        <v>5.3521881109837022E-2</v>
      </c>
      <c r="T32" s="1">
        <f>T31/O31</f>
        <v>0.12558037149070922</v>
      </c>
    </row>
    <row r="34" spans="3:15" x14ac:dyDescent="0.25">
      <c r="C34" s="1" t="s">
        <v>38</v>
      </c>
      <c r="D34" s="1">
        <f>D31-SUM(F31:J31)</f>
        <v>0</v>
      </c>
      <c r="N34" s="1" t="s">
        <v>38</v>
      </c>
      <c r="O34" s="1">
        <f>O31-SUM(Q31:T31)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91F0-70E4-46F0-9C93-909D87DCE35C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功耗计算(10ms) huali_powergating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LR</cp:lastModifiedBy>
  <dcterms:created xsi:type="dcterms:W3CDTF">2022-06-22T08:22:07Z</dcterms:created>
  <dcterms:modified xsi:type="dcterms:W3CDTF">2022-06-23T01:58:14Z</dcterms:modified>
</cp:coreProperties>
</file>