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80" windowHeight="13020" tabRatio="863"/>
  </bookViews>
  <sheets>
    <sheet name="新参数（美系）" sheetId="1" r:id="rId1"/>
    <sheet name="新参数（德系）" sheetId="2" r:id="rId2"/>
    <sheet name="新参数（苏系）" sheetId="3" r:id="rId3"/>
    <sheet name="新参数（日系）" sheetId="4" r:id="rId4"/>
    <sheet name="系别对比" sheetId="5" state="hidden" r:id="rId5"/>
    <sheet name="一些设定" sheetId="6" r:id="rId6"/>
    <sheet name="枪械实际规格（美系）" sheetId="7" r:id="rId7"/>
    <sheet name="枪械实际规格（德系）" sheetId="8" r:id="rId8"/>
    <sheet name="枪械实际规格（苏系）" sheetId="9" r:id="rId9"/>
    <sheet name="枪械实际规格（日系）" sheetId="10" r:id="rId10"/>
    <sheet name="旧参数（已放弃）" sheetId="11" state="hidden" r:id="rId11"/>
  </sheets>
  <calcPr calcId="144525"/>
</workbook>
</file>

<file path=xl/sharedStrings.xml><?xml version="1.0" encoding="utf-8"?>
<sst xmlns="http://schemas.openxmlformats.org/spreadsheetml/2006/main" count="621">
  <si>
    <t>M1 Carbine</t>
  </si>
  <si>
    <t>M1 Garand</t>
  </si>
  <si>
    <t>M1A1 
Thompson</t>
  </si>
  <si>
    <t>Springfield 
M1903</t>
  </si>
  <si>
    <t>Colt M1911</t>
  </si>
  <si>
    <t>M1918A2 BAR</t>
  </si>
  <si>
    <t>M1919A4 
Browning</t>
  </si>
  <si>
    <t>Colt M4A1 
w/Red Dot</t>
  </si>
  <si>
    <t>Smith &amp; Wesson 
Model 27</t>
  </si>
  <si>
    <t>Basics
（基本参数）</t>
  </si>
  <si>
    <t>weaponType（弹类）</t>
  </si>
  <si>
    <t>bullet</t>
  </si>
  <si>
    <t>weaponClass（枪种）</t>
  </si>
  <si>
    <t>smg</t>
  </si>
  <si>
    <t>rifle</t>
  </si>
  <si>
    <t>mg</t>
  </si>
  <si>
    <t>penetrateType（穿深）</t>
  </si>
  <si>
    <t>small</t>
  </si>
  <si>
    <t>medium</t>
  </si>
  <si>
    <t>impactType（爆炸特效）</t>
  </si>
  <si>
    <t>bullet_small</t>
  </si>
  <si>
    <t>bullet_large</t>
  </si>
  <si>
    <t>rifleBullet
（步枪类弹药）</t>
  </si>
  <si>
    <t>×</t>
  </si>
  <si>
    <t>√</t>
  </si>
  <si>
    <t>noADSAutoReload
（瞄准时不自动重装弹）</t>
  </si>
  <si>
    <t>noPartialReload
（非打光枪中弹药不能装弹）</t>
  </si>
  <si>
    <t>segmentedReload
（能够往弹仓中补弹）</t>
  </si>
  <si>
    <t>aimDownSight（能够瞄准射击）</t>
  </si>
  <si>
    <t>firetype（快慢机类型）</t>
  </si>
  <si>
    <t>Single Shot
（单发）</t>
  </si>
  <si>
    <t>Full Auto
（全梓东）</t>
  </si>
  <si>
    <t>enhanced（属于加强类武器）</t>
  </si>
  <si>
    <t>Damage
（伤害）</t>
  </si>
  <si>
    <t>damage（最大伤害）</t>
  </si>
  <si>
    <t>maxDamageRange
（制造最大伤害的距离）（英寸）</t>
  </si>
  <si>
    <t>minDamage（最小伤害）</t>
  </si>
  <si>
    <t>minDamageRange
（制造最小伤害的距离）（英寸）</t>
  </si>
  <si>
    <t>meleeDamage（肉搏伤害）</t>
  </si>
  <si>
    <t>playerDamage（自我伤害）</t>
  </si>
  <si>
    <t>Ammo/Clip
（弹药）</t>
  </si>
  <si>
    <t>maxAmmo（最大携弹量）</t>
  </si>
  <si>
    <t>startAmmo（初始携弹量）</t>
  </si>
  <si>
    <t>clipSize
（弹仓/弹匣/弹鼓容量）</t>
  </si>
  <si>
    <t>cancelAutoHolsterWhenEmpty
（取消无弹时自动换枪）</t>
  </si>
  <si>
    <t>suppressAmmoReserveDisplay
（隐藏弹药余量）</t>
  </si>
  <si>
    <t>Movement
（运动相关）</t>
  </si>
  <si>
    <t>Zoom FOV（瞄准时的放大参数）
（越小越大）</t>
  </si>
  <si>
    <t>moveSpeedScale（移动速度系数）</t>
  </si>
  <si>
    <t>asdMoveSpeedScale
（瞄准移动速度系数）</t>
  </si>
  <si>
    <t>sprintDurationScale
（冲刺时间系数）</t>
  </si>
  <si>
    <t>Trans In（进入瞄准耗时）</t>
  </si>
  <si>
    <t>Trans Out（取消瞄准耗时）</t>
  </si>
  <si>
    <t>Idle Hip（最大摇晃角度）</t>
  </si>
  <si>
    <t>Idle Hip Speed（最大摇晃速度）</t>
  </si>
  <si>
    <t>Idel ADS
（瞄准时的最大摇晃角度）</t>
  </si>
  <si>
    <t>Idel ADS Speed
（瞄准时的最大摇晃速度）</t>
  </si>
  <si>
    <t>Crouch Factor（蹲下摇晃系数）</t>
  </si>
  <si>
    <t>Prone Factor（匍匐摇晃系数）</t>
  </si>
  <si>
    <t>Aim Pitch（瞄准中心修正量）</t>
  </si>
  <si>
    <t>Sprint speedScale
（冲刺动画速度系数）</t>
  </si>
  <si>
    <t>Spread
（精度）</t>
  </si>
  <si>
    <t>adsSpread
（瞄准射击散步）（英寸）</t>
  </si>
  <si>
    <t>hipSpreadStandMin
（站立扫射最小散步）（英寸）</t>
  </si>
  <si>
    <t>hipSpreadDuckedMin
（蹲下扫射最小散步）（英寸）</t>
  </si>
  <si>
    <t>hipSpreadProneMin
（匍匐扫射最小散步）（英寸）</t>
  </si>
  <si>
    <t>hipSpreadStandMax
（站立扫射最大散步）（英寸）</t>
  </si>
  <si>
    <t>hipSpreadDuckedMax
（蹲下扫射最大散步）（英寸）</t>
  </si>
  <si>
    <t>hipSpreadProneMax
（匍匐扫射最大散步）（英寸）</t>
  </si>
  <si>
    <t>hipSpreadFireAdd
（开枪扫射散步增量）（英寸/s）</t>
  </si>
  <si>
    <t>hipSpreadTurnAdd
（转身扫射散步增量）（英寸/s）</t>
  </si>
  <si>
    <t>hipSpreadMoveAdd
（移动中扫射散步增量）（英寸/s）</t>
  </si>
  <si>
    <t>hipSpreadDecayRate
（恒定扫射散步减量）（英寸/s）</t>
  </si>
  <si>
    <t>hipSpreadDuckedDecay
（蹲下扫射散步减量系数）</t>
  </si>
  <si>
    <t>hipSpreadProneDecay
（匍匐扫射散步减量系数）</t>
  </si>
  <si>
    <t>Kick
（后座力）</t>
  </si>
  <si>
    <t>adsGunKickPitchMin（瞄准开火时枪的最小垂直运动度数）（负数为上）</t>
  </si>
  <si>
    <t>adsGunKickPitchMax（瞄准开火时枪的最大垂直运动度数）（负数为上）</t>
  </si>
  <si>
    <t>hipViewKickPitchMin（扫射开火时视角的最小垂直运动度数）（正数为上）</t>
  </si>
  <si>
    <t>hipViewKickPitchMax（扫射开火时视角的最大垂直运动度数）（正数为上）</t>
  </si>
  <si>
    <t>adsViewKickPitchMin（瞄准开火时视角的最小垂直运动度数）（正数为上）</t>
  </si>
  <si>
    <t>adsViewKickPitchMax（瞄准开火时视角的最大垂直运动度数）（正数为上）</t>
  </si>
  <si>
    <t>hipViewKickCenterSpeed（扫射开火时视角回归中心的速度）（度/s）</t>
  </si>
  <si>
    <t>adsViewKickCenterSpeed（瞄准开火时视角回归中心的速度）（度/s）</t>
  </si>
  <si>
    <t>adsGunKickReducedKickBullets（射出去多少子弹之后枪才会产生全额后座力）</t>
  </si>
  <si>
    <t>adsGunKickReducedKickPercent（非全额后座力百分数）（对应上一条）</t>
  </si>
  <si>
    <t>gunMaxPitch（枪的最大垂直运动度数）</t>
  </si>
  <si>
    <t>State Timers
（时间类参数）</t>
  </si>
  <si>
    <t>fireTime（每发子弹射击耗时）（s）</t>
  </si>
  <si>
    <t>raiseTime（拿起耗时）（s）</t>
  </si>
  <si>
    <t>dropTime（放下耗时）（s）</t>
  </si>
  <si>
    <t>Start raiseTime（初次拿起耗时）（s）</t>
  </si>
  <si>
    <t>grenade
Weapon
（抛射物设定）</t>
  </si>
  <si>
    <t>explosionInnerDamage
（爆炸半径内伤害）</t>
  </si>
  <si>
    <t>explosionOuterDamage
（爆炸半径边缘伤害）</t>
  </si>
  <si>
    <t>explosionRadius
（爆炸半径）（英寸）</t>
  </si>
  <si>
    <t>damageConeAngle
（爆炸方向）（度）</t>
  </si>
  <si>
    <t>projectileSpeed
（抛射物飞行速度）（英寸/s）</t>
  </si>
  <si>
    <t>proImpactExplode（触炸引信）</t>
  </si>
  <si>
    <t>destabilizationRateTime
（失准效应持续时间）（s）</t>
  </si>
  <si>
    <t>destabilizationCurvatureMax
（最大失准速率）（度/s）</t>
  </si>
  <si>
    <t>destabilizeDistanca
（失准距离）（英寸）</t>
  </si>
  <si>
    <t>projectileLifeTime
（抛射物存在时间）（s）</t>
  </si>
  <si>
    <t>projectileSpeedUp（发射后抛射物垂直方向速度增量）（英寸/s）</t>
  </si>
  <si>
    <t>Mauser 
Karabiner 98 kurz</t>
  </si>
  <si>
    <t>Maschinen
pistole
40</t>
  </si>
  <si>
    <t>Walther
Pistole 38</t>
  </si>
  <si>
    <t>Maschinen
gewehr
42</t>
  </si>
  <si>
    <t>Sturm
gewehr
44</t>
  </si>
  <si>
    <t>Gewehr 43</t>
  </si>
  <si>
    <t>Fallschirmjager
Gewehr 
42</t>
  </si>
  <si>
    <t>Ray Gun</t>
  </si>
  <si>
    <t>Maschinen
gewehr
42(M)</t>
  </si>
  <si>
    <t>projectile</t>
  </si>
  <si>
    <t>none</t>
  </si>
  <si>
    <t>bullet_ap</t>
  </si>
  <si>
    <t>Zoom FOV（瞄准时的放大参数）</t>
  </si>
  <si>
    <t>Mosin–Nagant M1891/30</t>
  </si>
  <si>
    <t>PPSh-41</t>
  </si>
  <si>
    <t>Tokarev TT-33</t>
  </si>
  <si>
    <t>Degtyaryov 
DP-28</t>
  </si>
  <si>
    <t>Tokarev
SVT-40</t>
  </si>
  <si>
    <t>Kalashnikov 
AK-47</t>
  </si>
  <si>
    <t>PTRS-41</t>
  </si>
  <si>
    <t>rocketlauncher</t>
  </si>
  <si>
    <t>large</t>
  </si>
  <si>
    <t>Type 99 Arisaka</t>
  </si>
  <si>
    <t>Type 100 smg</t>
  </si>
  <si>
    <t>Type 94 Nambu</t>
  </si>
  <si>
    <t>Type 99 lmg</t>
  </si>
  <si>
    <t>美</t>
  </si>
  <si>
    <t>德</t>
  </si>
  <si>
    <t>苏</t>
  </si>
  <si>
    <t>日</t>
  </si>
  <si>
    <t>步枪</t>
  </si>
  <si>
    <t>狙击步枪</t>
  </si>
  <si>
    <t>冲锋枪</t>
  </si>
  <si>
    <t>卡宾枪/突击步枪</t>
  </si>
  <si>
    <t>自动步枪</t>
  </si>
  <si>
    <t>机枪</t>
  </si>
  <si>
    <t>半自动步枪</t>
  </si>
  <si>
    <t>手枪</t>
  </si>
  <si>
    <t>特殊</t>
  </si>
  <si>
    <t>指数</t>
  </si>
  <si>
    <t>火力</t>
  </si>
  <si>
    <t>精准</t>
  </si>
  <si>
    <t>射程</t>
  </si>
  <si>
    <t>操控</t>
  </si>
  <si>
    <t>机动</t>
  </si>
  <si>
    <t>弹量</t>
  </si>
  <si>
    <t>近战</t>
  </si>
  <si>
    <t>综合</t>
  </si>
  <si>
    <t>特殊指数</t>
  </si>
  <si>
    <t>架设精准</t>
  </si>
  <si>
    <t>架设射程</t>
  </si>
  <si>
    <t>架设操控</t>
  </si>
  <si>
    <t>架设机动</t>
  </si>
  <si>
    <t>架设弹量</t>
  </si>
  <si>
    <t>弹种规则</t>
  </si>
  <si>
    <t>爆炸规则</t>
  </si>
  <si>
    <t>长度单位换算表</t>
  </si>
  <si>
    <t>配件规则</t>
  </si>
  <si>
    <t>武器规则</t>
  </si>
  <si>
    <t>反坦克</t>
  </si>
  <si>
    <t>全威力</t>
  </si>
  <si>
    <t>中间威力</t>
  </si>
  <si>
    <t>反人员（破片）</t>
  </si>
  <si>
    <t>反人员（高爆）</t>
  </si>
  <si>
    <t>米</t>
  </si>
  <si>
    <t>瞄准镜</t>
  </si>
  <si>
    <t>刺刀</t>
  </si>
  <si>
    <t>榴弹发射器</t>
  </si>
  <si>
    <t>卡宾枪</t>
  </si>
  <si>
    <t>突击步枪</t>
  </si>
  <si>
    <t>半自动步枪/自动步枪</t>
  </si>
  <si>
    <t>弹药名称</t>
  </si>
  <si>
    <t>14.5×114</t>
  </si>
  <si>
    <t>7.92×57</t>
  </si>
  <si>
    <t>.30-06</t>
  </si>
  <si>
    <t>7.62×54</t>
  </si>
  <si>
    <t>5.56 NATO</t>
  </si>
  <si>
    <t>7.92 Kurz</t>
  </si>
  <si>
    <t>7.62 M43</t>
  </si>
  <si>
    <t>.30 Car.</t>
  </si>
  <si>
    <t>.357 Mag.</t>
  </si>
  <si>
    <t>.45 ACP</t>
  </si>
  <si>
    <t>7.62×25</t>
  </si>
  <si>
    <t>9mm Para.</t>
  </si>
  <si>
    <t>8mm Nam.</t>
  </si>
  <si>
    <t>爆炸物名称</t>
  </si>
  <si>
    <t>Mk2</t>
  </si>
  <si>
    <t>M24</t>
  </si>
  <si>
    <t>No.74</t>
  </si>
  <si>
    <t>M6A3/C</t>
  </si>
  <si>
    <t>英寸</t>
  </si>
  <si>
    <t>倍数</t>
  </si>
  <si>
    <t>4x</t>
  </si>
  <si>
    <t>3x</t>
  </si>
  <si>
    <t>2x</t>
  </si>
  <si>
    <t>失准距离（m）</t>
  </si>
  <si>
    <t>伤害</t>
  </si>
  <si>
    <t>重量（kg）</t>
  </si>
  <si>
    <t>FOV</t>
  </si>
  <si>
    <t>特殊倍数</t>
  </si>
  <si>
    <t>动能（j）</t>
  </si>
  <si>
    <t>装药（g）</t>
  </si>
  <si>
    <t>进入瞄准耗时</t>
  </si>
  <si>
    <t>×1.15</t>
  </si>
  <si>
    <t>×1.1</t>
  </si>
  <si>
    <t>×1.05</t>
  </si>
  <si>
    <t>后坐力系数</t>
  </si>
  <si>
    <t>爆炸半径（inch）</t>
  </si>
  <si>
    <t>最大摇晃角度</t>
  </si>
  <si>
    <t>×1.25</t>
  </si>
  <si>
    <t>内部伤害</t>
  </si>
  <si>
    <t>瞄准射击散步</t>
  </si>
  <si>
    <t>+0.05</t>
  </si>
  <si>
    <t>弹药模型</t>
  </si>
  <si>
    <t>fx_rifle_shell_blur</t>
  </si>
  <si>
    <t>fx_pistol_shell_blur</t>
  </si>
  <si>
    <t>边缘伤害</t>
  </si>
  <si>
    <t>M1卡宾枪</t>
  </si>
  <si>
    <t>M1加兰德</t>
  </si>
  <si>
    <t>M1A1汤普森</t>
  </si>
  <si>
    <t>春田M1903</t>
  </si>
  <si>
    <t>柯尔特M1911</t>
  </si>
  <si>
    <t>M1919A4</t>
  </si>
  <si>
    <t>柯尔特M4A1</t>
  </si>
  <si>
    <t>S&amp;W M27</t>
  </si>
  <si>
    <t>春田M1903A4</t>
  </si>
  <si>
    <t>长度（mm）</t>
  </si>
  <si>
    <t>射速（RPM）</t>
  </si>
  <si>
    <t>初速（inch/s）</t>
  </si>
  <si>
    <t>弹种</t>
  </si>
  <si>
    <t>5.56NATO</t>
  </si>
  <si>
    <t>毛瑟98k</t>
  </si>
  <si>
    <t>MP40</t>
  </si>
  <si>
    <t>P38</t>
  </si>
  <si>
    <t>MG42</t>
  </si>
  <si>
    <t>StG44</t>
  </si>
  <si>
    <t>G43</t>
  </si>
  <si>
    <t>FG42</t>
  </si>
  <si>
    <t>毛瑟98k Scoped</t>
  </si>
  <si>
    <t>Laser</t>
  </si>
  <si>
    <t>M1891/30</t>
  </si>
  <si>
    <t>TT-33</t>
  </si>
  <si>
    <t>DP-28</t>
  </si>
  <si>
    <t>SVT-40</t>
  </si>
  <si>
    <t>AK-47</t>
  </si>
  <si>
    <t>M1891/30 PU</t>
  </si>
  <si>
    <t>Type99</t>
  </si>
  <si>
    <t>Type100</t>
  </si>
  <si>
    <t>Nambu</t>
  </si>
  <si>
    <t>Type99lmg</t>
  </si>
  <si>
    <t>Type99 Scoped</t>
  </si>
  <si>
    <t>Mauser Kar 98k</t>
  </si>
  <si>
    <t>M1903</t>
  </si>
  <si>
    <t>M1A1 Thompson</t>
  </si>
  <si>
    <t>MP 40</t>
  </si>
  <si>
    <t>Type 100</t>
  </si>
  <si>
    <t>PPSH-41</t>
  </si>
  <si>
    <t>StG 44</t>
  </si>
  <si>
    <t>Colt M4</t>
  </si>
  <si>
    <t>M1919</t>
  </si>
  <si>
    <t>Basics</t>
  </si>
  <si>
    <t xml:space="preserve"> weaponClass rifle</t>
  </si>
  <si>
    <t xml:space="preserve"> weaponClass smg</t>
  </si>
  <si>
    <t xml:space="preserve"> weaponClass mg</t>
  </si>
  <si>
    <t xml:space="preserve"> penetrateType medium</t>
  </si>
  <si>
    <t xml:space="preserve"> penetrateType small</t>
  </si>
  <si>
    <t xml:space="preserve"> penetrateType large</t>
  </si>
  <si>
    <t xml:space="preserve"> impactType bullet_ap</t>
  </si>
  <si>
    <t xml:space="preserve"> impactType bullet_large</t>
  </si>
  <si>
    <t xml:space="preserve"> impactType bullet_small</t>
  </si>
  <si>
    <t xml:space="preserve"> rifleBullet Yes</t>
  </si>
  <si>
    <t xml:space="preserve"> rifleBullet No</t>
  </si>
  <si>
    <t>noADSAutoReload Yes</t>
  </si>
  <si>
    <t>noPartialReload Yes</t>
  </si>
  <si>
    <t>noPartialReload No</t>
  </si>
  <si>
    <t>segmentedReload No</t>
  </si>
  <si>
    <t>firetype Single Shot</t>
  </si>
  <si>
    <t>firetype Full Auto</t>
  </si>
  <si>
    <t>firetype 3-Round Burst</t>
  </si>
  <si>
    <t>enhanced No</t>
  </si>
  <si>
    <t>Damage</t>
  </si>
  <si>
    <t xml:space="preserve"> damage 724</t>
  </si>
  <si>
    <t xml:space="preserve"> damage 762</t>
  </si>
  <si>
    <t xml:space="preserve"> damage 792</t>
  </si>
  <si>
    <t xml:space="preserve"> damage 400</t>
  </si>
  <si>
    <t xml:space="preserve"> damage 381</t>
  </si>
  <si>
    <t xml:space="preserve"> damage 315</t>
  </si>
  <si>
    <t xml:space="preserve"> damage 450</t>
  </si>
  <si>
    <t xml:space="preserve"> damage 533</t>
  </si>
  <si>
    <t xml:space="preserve"> damage 634</t>
  </si>
  <si>
    <t xml:space="preserve"> damage 612</t>
  </si>
  <si>
    <t xml:space="preserve"> damage 1450</t>
  </si>
  <si>
    <t xml:space="preserve"> damage 6666</t>
  </si>
  <si>
    <t xml:space="preserve"> maxDamageRange 1</t>
  </si>
  <si>
    <t xml:space="preserve"> meleeDamage 300</t>
  </si>
  <si>
    <t xml:space="preserve"> minDamage 8</t>
  </si>
  <si>
    <t xml:space="preserve"> minDamage 11</t>
  </si>
  <si>
    <t xml:space="preserve"> minDamage 4</t>
  </si>
  <si>
    <t xml:space="preserve"> minDamage 5</t>
  </si>
  <si>
    <t xml:space="preserve"> minDamage 9</t>
  </si>
  <si>
    <t xml:space="preserve"> minDamage 7</t>
  </si>
  <si>
    <t xml:space="preserve"> minDamage 6</t>
  </si>
  <si>
    <t xml:space="preserve"> minDamage 15</t>
  </si>
  <si>
    <t xml:space="preserve"> playerDamage 1</t>
  </si>
  <si>
    <t xml:space="preserve"> minDamageRange 39370(1000m)</t>
  </si>
  <si>
    <t xml:space="preserve"> minDamageRange 5906(150m)</t>
  </si>
  <si>
    <t xml:space="preserve"> minDamageRange 3937(100m)</t>
  </si>
  <si>
    <t xml:space="preserve"> minDamageRange 7874(200m)</t>
  </si>
  <si>
    <t xml:space="preserve"> minDamageRange 9843(250m)</t>
  </si>
  <si>
    <t xml:space="preserve"> minDamageRange 19685(500m)</t>
  </si>
  <si>
    <t xml:space="preserve"> minDamageRange 11811(300m)</t>
  </si>
  <si>
    <t xml:space="preserve"> minDamageRange 23622(600m)</t>
  </si>
  <si>
    <t xml:space="preserve"> minDamageRange 59055(1500m)</t>
  </si>
  <si>
    <t xml:space="preserve"> meleeDamage 300/400(Bayonet)</t>
  </si>
  <si>
    <t xml:space="preserve"> playerDamage 724</t>
  </si>
  <si>
    <t xml:space="preserve"> playerDamage 762</t>
  </si>
  <si>
    <t xml:space="preserve"> playerDamage 792</t>
  </si>
  <si>
    <t xml:space="preserve"> playerDamage 400</t>
  </si>
  <si>
    <t xml:space="preserve"> playerDamage 533</t>
  </si>
  <si>
    <t xml:space="preserve"> playerDamage 315</t>
  </si>
  <si>
    <t xml:space="preserve"> playerDamage 450</t>
  </si>
  <si>
    <t xml:space="preserve"> playerDamage 634</t>
  </si>
  <si>
    <t xml:space="preserve"> playerDamage 612</t>
  </si>
  <si>
    <t xml:space="preserve"> playerDamage 1450</t>
  </si>
  <si>
    <t>Ammo/Clip</t>
  </si>
  <si>
    <t xml:space="preserve"> maxAmmo 200</t>
  </si>
  <si>
    <t xml:space="preserve"> maxAmmo 160</t>
  </si>
  <si>
    <t xml:space="preserve"> maxAmmo 150</t>
  </si>
  <si>
    <t xml:space="preserve"> maxAmmo 70</t>
  </si>
  <si>
    <t xml:space="preserve"> maxAmmo 80</t>
  </si>
  <si>
    <t xml:space="preserve"> maxAmmo 60</t>
  </si>
  <si>
    <t xml:space="preserve"> maxAmmo 300</t>
  </si>
  <si>
    <t xml:space="preserve"> maxAmmo 320</t>
  </si>
  <si>
    <t xml:space="preserve"> maxAmmo 350</t>
  </si>
  <si>
    <t xml:space="preserve"> maxAmmo 375</t>
  </si>
  <si>
    <t xml:space="preserve"> maxAmmo 350/1000(M)</t>
  </si>
  <si>
    <t xml:space="preserve"> maxAmmo 25</t>
  </si>
  <si>
    <t xml:space="preserve"> maxAmmo 6666</t>
  </si>
  <si>
    <t xml:space="preserve"> startAmmo 200</t>
  </si>
  <si>
    <t xml:space="preserve"> startAmmo 160</t>
  </si>
  <si>
    <t xml:space="preserve"> startAmmo 150</t>
  </si>
  <si>
    <t xml:space="preserve"> startAmmo 35</t>
  </si>
  <si>
    <t xml:space="preserve"> startAmmo 40</t>
  </si>
  <si>
    <t xml:space="preserve"> startAmmo 30</t>
  </si>
  <si>
    <t xml:space="preserve"> startAmmo 300</t>
  </si>
  <si>
    <t xml:space="preserve"> startAmmo 320</t>
  </si>
  <si>
    <t xml:space="preserve"> startAmmo 350</t>
  </si>
  <si>
    <t xml:space="preserve"> startAmmo 375</t>
  </si>
  <si>
    <t xml:space="preserve"> startAmmo 350/1000(M)</t>
  </si>
  <si>
    <t xml:space="preserve"> startAmmo 25</t>
  </si>
  <si>
    <t xml:space="preserve"> startAmmo 666</t>
  </si>
  <si>
    <t xml:space="preserve"> clipSize 30/50(Expand)</t>
  </si>
  <si>
    <t xml:space="preserve"> clipSize 32/64(Expand)</t>
  </si>
  <si>
    <t xml:space="preserve"> clipSize 30/60(Expand)</t>
  </si>
  <si>
    <t xml:space="preserve"> clipSize 35/71(Expand)</t>
  </si>
  <si>
    <t xml:space="preserve"> clipSize 15/30(Expand)</t>
  </si>
  <si>
    <t xml:space="preserve"> clipSize 75</t>
  </si>
  <si>
    <t xml:space="preserve"> clipSize 50/250(M)</t>
  </si>
  <si>
    <t xml:space="preserve"> clipSize 66</t>
  </si>
  <si>
    <t>cancelAutoHolsterWhenEmpty Yes</t>
  </si>
  <si>
    <t>Movement</t>
  </si>
  <si>
    <t>Zoom FOV 60/50(Aperture)/40(Telescopic)</t>
  </si>
  <si>
    <t>Zoom FOV 60/20(Scoped)</t>
  </si>
  <si>
    <t>Zoom FOV 60/10(Scoped)</t>
  </si>
  <si>
    <t>Zoom FOV 60</t>
  </si>
  <si>
    <t>Zoom FOV 60/50(Aperture)</t>
  </si>
  <si>
    <t>Zoom FOV 50(Red Dot)</t>
  </si>
  <si>
    <t>Zoom FOV 60/40(Telescopic)</t>
  </si>
  <si>
    <t>Zoom FOV 40(Telescopic)</t>
  </si>
  <si>
    <t xml:space="preserve"> moveSpeedScale 0.9</t>
  </si>
  <si>
    <t xml:space="preserve"> moveSpeedScale 1</t>
  </si>
  <si>
    <t xml:space="preserve"> moveSpeedScale 0.75</t>
  </si>
  <si>
    <t xml:space="preserve"> asdMoveSpeedScale 0.75</t>
  </si>
  <si>
    <t xml:space="preserve"> asdMoveSpeedScale 0.9</t>
  </si>
  <si>
    <t xml:space="preserve"> asdMoveSpeedScale 0.5</t>
  </si>
  <si>
    <t xml:space="preserve"> sprintDurationScale 2</t>
  </si>
  <si>
    <t xml:space="preserve"> sprintDurationScale 3</t>
  </si>
  <si>
    <t xml:space="preserve"> sprintDurationScale 2.5</t>
  </si>
  <si>
    <t xml:space="preserve"> sprintDurationScale 1.5</t>
  </si>
  <si>
    <t xml:space="preserve"> sprintDurationScale 1</t>
  </si>
  <si>
    <t xml:space="preserve"> sprintDurationScale 0.75</t>
  </si>
  <si>
    <t>adsTransInTime 0.6</t>
  </si>
  <si>
    <t>Trans In 0.53</t>
  </si>
  <si>
    <t>adsTransInTime 0.7</t>
  </si>
  <si>
    <t>Trans In 0.41</t>
  </si>
  <si>
    <t>Trans In 0.39</t>
  </si>
  <si>
    <t>adsTransInTime 0.8</t>
  </si>
  <si>
    <t>Trans In 0.33</t>
  </si>
  <si>
    <t>adsTransInTime 0.2</t>
  </si>
  <si>
    <t>Trans In 0.19</t>
  </si>
  <si>
    <t>Trans In 0.31</t>
  </si>
  <si>
    <t>Trans In 0.48</t>
  </si>
  <si>
    <t>adsTransInTime 0.5</t>
  </si>
  <si>
    <t>adsTransInTime 0.4</t>
  </si>
  <si>
    <t>Trans In 0.26(=26/100)</t>
  </si>
  <si>
    <t>Trans In 0.34</t>
  </si>
  <si>
    <t>Trans In 0.5</t>
  </si>
  <si>
    <t>adsTransInTime 1</t>
  </si>
  <si>
    <t>Trans Out 0.53</t>
  </si>
  <si>
    <t>Trans Out 0.41</t>
  </si>
  <si>
    <t>Trans Out 0.39</t>
  </si>
  <si>
    <t>Trans Out 0.33</t>
  </si>
  <si>
    <t>Trans Out 0.19</t>
  </si>
  <si>
    <t>Trans Out 0.31</t>
  </si>
  <si>
    <t>Trans Out 0.48</t>
  </si>
  <si>
    <t>Trans Out 0.26(=26/100)</t>
  </si>
  <si>
    <t>Trans Out 0.34</t>
  </si>
  <si>
    <t>Trans Out 0.5</t>
  </si>
  <si>
    <t>Idle Hip 79.5 Speed 4</t>
  </si>
  <si>
    <t>Idle Hip 61.5 Speed 4</t>
  </si>
  <si>
    <t>Idle Hip 58.5 Speed 4</t>
  </si>
  <si>
    <t>Idle Hip 66 Speed 4</t>
  </si>
  <si>
    <t>Idle Hip 57 Speed 4</t>
  </si>
  <si>
    <t>Idle Hip 63 Speed 4</t>
  </si>
  <si>
    <t>Idle Hip 72 Speed 4</t>
  </si>
  <si>
    <t>Idle Hip 39(=13*3) Speed 4</t>
  </si>
  <si>
    <t>Idle Hip 51 Speed 4</t>
  </si>
  <si>
    <t>Idle Hip 75 Speed 4</t>
  </si>
  <si>
    <t>Idel ADS 26.5 Speed 3</t>
  </si>
  <si>
    <t>Idel ADS 20.5 Speed 3</t>
  </si>
  <si>
    <t>Idel ADS 19.5 Speed 3</t>
  </si>
  <si>
    <t>Idel ADS 22 Speed 3</t>
  </si>
  <si>
    <t>Idel ADS 19 Speed 3</t>
  </si>
  <si>
    <t>Idel ADS 21 Speed 3</t>
  </si>
  <si>
    <t>Idel ADS 24 Speed 3</t>
  </si>
  <si>
    <t>Idel ADS 13(=26/2) Speed 3</t>
  </si>
  <si>
    <t>Idel ADS 17 Speed 3</t>
  </si>
  <si>
    <t>Idel ADS 25 Speed 3</t>
  </si>
  <si>
    <t>Crouch Factor 0.75</t>
  </si>
  <si>
    <t>Prone Factor 0.25</t>
  </si>
  <si>
    <t>Aim Pitch 0</t>
  </si>
  <si>
    <t>Sprint speedScale 0.9</t>
  </si>
  <si>
    <t>Sprint speedScale 1</t>
  </si>
  <si>
    <t>Spread</t>
  </si>
  <si>
    <t xml:space="preserve"> adsSpread 0.5/0.45(Aperture)/0.45(Telescopic)</t>
  </si>
  <si>
    <t xml:space="preserve"> adsSpread 0.5/0.6(Bayonet)/0.6(RG)/0.45(Scoped)</t>
  </si>
  <si>
    <t xml:space="preserve"> adsSpread 0.55/0.5(Aperture)/0.5(Telescopic)</t>
  </si>
  <si>
    <t xml:space="preserve"> adsSpread 0.55/0.65(Bayonet)/0.4(Scoped)</t>
  </si>
  <si>
    <t xml:space="preserve"> adsSpread 0.55/0.65(Bayonet)/0.45(Scoped)</t>
  </si>
  <si>
    <t xml:space="preserve"> adsSpread 0.6/0.7(Bayonet)/0.7(RG)/0.4(Scoped)</t>
  </si>
  <si>
    <t xml:space="preserve"> adsSpread 2</t>
  </si>
  <si>
    <t xml:space="preserve"> adsSpread 1.5</t>
  </si>
  <si>
    <t xml:space="preserve"> adsSpread 1.5/1.6(Expand)/1.45(Aperture)</t>
  </si>
  <si>
    <t xml:space="preserve"> adsSpread 1.6/1.7(Expand)/1.55(Aperture)</t>
  </si>
  <si>
    <t xml:space="preserve"> adsSpread 1.4/1.5(Expand)/1.35(Aperture)</t>
  </si>
  <si>
    <t xml:space="preserve"> adsSpread 0.6/0.55(Aperture)/0.5(Telescopic)</t>
  </si>
  <si>
    <t xml:space="preserve"> adsSpread 0.6/0.7(Expand)/0.55(Aperture)</t>
  </si>
  <si>
    <t xml:space="preserve"> adsSpread 0.55/0.5(Red Dot)</t>
  </si>
  <si>
    <t xml:space="preserve"> adsSpread 0.6/0.5(M)</t>
  </si>
  <si>
    <t xml:space="preserve"> adsSpread 0.6/0.55(Telescopic)/0.5(M)/0.45(T&amp;M)</t>
  </si>
  <si>
    <t xml:space="preserve"> adsSpread 1.5/0.5(M)</t>
  </si>
  <si>
    <t xml:space="preserve"> adsSpread 2/0.5(M)</t>
  </si>
  <si>
    <t xml:space="preserve"> adsSpread 4/1(M)</t>
  </si>
  <si>
    <t xml:space="preserve"> adsSpread 0.1</t>
  </si>
  <si>
    <t xml:space="preserve"> hipSpreadStandMin 5</t>
  </si>
  <si>
    <t xml:space="preserve"> hipSpreadStandMin 5.5+0.795</t>
  </si>
  <si>
    <t xml:space="preserve"> hipSpreadStandMin 5.25</t>
  </si>
  <si>
    <t xml:space="preserve"> hipSpreadStandMin 5.55+0.615</t>
  </si>
  <si>
    <t xml:space="preserve"> hipSpreadStandMin 5.49+0.585</t>
  </si>
  <si>
    <t xml:space="preserve"> hipSpreadStandMin 4.2+0.33</t>
  </si>
  <si>
    <t xml:space="preserve"> hipSpreadStandMin 3.5</t>
  </si>
  <si>
    <t xml:space="preserve"> hipSpreadStandMin 4</t>
  </si>
  <si>
    <t xml:space="preserve"> hipSpreadStandMin 4.2+0.285</t>
  </si>
  <si>
    <t xml:space="preserve"> hipSpreadStandMin 4.2+0.315</t>
  </si>
  <si>
    <t xml:space="preserve"> hipSpreadStandMin 4.05+0.72</t>
  </si>
  <si>
    <t xml:space="preserve"> hipSpreadStandMin 3</t>
  </si>
  <si>
    <t>hipSpreadStandMin 4</t>
  </si>
  <si>
    <t xml:space="preserve"> hipSpreadStandMin 4.5(=900/100/2)+0.39(=39/100)</t>
  </si>
  <si>
    <t xml:space="preserve"> hipSpreadStandMin 4.45+0.51</t>
  </si>
  <si>
    <t xml:space="preserve"> hipSpreadStandMin 4.9+0.75</t>
  </si>
  <si>
    <t xml:space="preserve"> hipSpreadStandMin 5.5</t>
  </si>
  <si>
    <t xml:space="preserve"> hipSpreadStandMin 9</t>
  </si>
  <si>
    <t xml:space="preserve"> hipSpreadDuckedMin 4.5</t>
  </si>
  <si>
    <t xml:space="preserve"> hipSpreadDuckedMin 5+0.795</t>
  </si>
  <si>
    <t xml:space="preserve"> hipSpreadDuckedMin 4.75</t>
  </si>
  <si>
    <t xml:space="preserve"> hipSpreadDuckedMin 5.05+0.615</t>
  </si>
  <si>
    <t xml:space="preserve"> hipSpreadDuckedMin 4.99+0.585</t>
  </si>
  <si>
    <t xml:space="preserve"> hipSpreadDuckedMin 3.7+0.33</t>
  </si>
  <si>
    <t xml:space="preserve"> hipSpreadDuckedMin 3</t>
  </si>
  <si>
    <t xml:space="preserve"> hipSpreadDuckedMin 3.5</t>
  </si>
  <si>
    <t xml:space="preserve"> hipSpreadDuckedMin 3.7+0.285</t>
  </si>
  <si>
    <t xml:space="preserve"> hipSpreadDuckedMin 3.7+0.315</t>
  </si>
  <si>
    <t xml:space="preserve"> hipSpreadDuckedMin 3.55+0.72</t>
  </si>
  <si>
    <t xml:space="preserve"> hipSpreadDuckedMin 2.5</t>
  </si>
  <si>
    <t xml:space="preserve"> hipSpreadDuckedMin 4+0.39</t>
  </si>
  <si>
    <t xml:space="preserve"> hipSpreadDuckedMin 3.95+0.51</t>
  </si>
  <si>
    <t xml:space="preserve"> hipSpreadDuckedMin 4.4+0.75</t>
  </si>
  <si>
    <t xml:space="preserve"> hipSpreadDuckedMin 5</t>
  </si>
  <si>
    <t xml:space="preserve"> hipSpreadDuckedMin 8.5</t>
  </si>
  <si>
    <t xml:space="preserve"> hipSpreadProneMin 4</t>
  </si>
  <si>
    <t xml:space="preserve"> hipSpreadProneMin 4.5+0.795</t>
  </si>
  <si>
    <t xml:space="preserve"> hipSpreadProneMin 4.25</t>
  </si>
  <si>
    <t xml:space="preserve"> hipSpreadProneMin 4.55+0.615</t>
  </si>
  <si>
    <t xml:space="preserve"> hipSpreadProneMin 4.49+0.585</t>
  </si>
  <si>
    <t xml:space="preserve"> hipSpreadProneMin 3.2+0.33</t>
  </si>
  <si>
    <t xml:space="preserve"> hipSpreadProneMin 2.5</t>
  </si>
  <si>
    <t xml:space="preserve"> hipSpreadProneMin 3</t>
  </si>
  <si>
    <t xml:space="preserve"> hipSpreadProneMin 3.2+0.285</t>
  </si>
  <si>
    <t xml:space="preserve"> hipSpreadProneMin 3.2+0.315</t>
  </si>
  <si>
    <t xml:space="preserve"> hipSpreadProneMin 3.05+0.72</t>
  </si>
  <si>
    <t xml:space="preserve"> hipSpreadProneMin 2</t>
  </si>
  <si>
    <t xml:space="preserve"> hipSpreadProneMin 3.5+0.39</t>
  </si>
  <si>
    <t xml:space="preserve"> hipSpreadProneMin 3.45+0.51</t>
  </si>
  <si>
    <t xml:space="preserve"> hipSpreadProneMin 3.9+0.75</t>
  </si>
  <si>
    <t xml:space="preserve"> hipSpreadProneMin 4.5</t>
  </si>
  <si>
    <t xml:space="preserve"> hipSpreadProneMin 8</t>
  </si>
  <si>
    <t xml:space="preserve"> hipSpreadStandMax 15</t>
  </si>
  <si>
    <t xml:space="preserve"> hipSpreadStandMax 10</t>
  </si>
  <si>
    <t xml:space="preserve"> hipSpreadDuckedMax 14.5</t>
  </si>
  <si>
    <t xml:space="preserve"> hipSpreadDuckedMax 9.5</t>
  </si>
  <si>
    <t xml:space="preserve"> hipSpreadProneMax 14</t>
  </si>
  <si>
    <t xml:space="preserve"> hipSpreadProneMax 9</t>
  </si>
  <si>
    <t xml:space="preserve"> hipSpreadFireAdd 2</t>
  </si>
  <si>
    <t xml:space="preserve"> hipSpreadFireAdd 0.25</t>
  </si>
  <si>
    <t xml:space="preserve"> hipSpreadFireAdd 3</t>
  </si>
  <si>
    <t xml:space="preserve"> hipSpreadFireAdd 0.5</t>
  </si>
  <si>
    <t xml:space="preserve"> hipSpreadFireAdd 0.75</t>
  </si>
  <si>
    <t xml:space="preserve"> hipSpreadFireAdd 1.5</t>
  </si>
  <si>
    <t xml:space="preserve"> hipSpreadFireAdd 2.5</t>
  </si>
  <si>
    <t xml:space="preserve"> hipSpreadFireAdd 4</t>
  </si>
  <si>
    <t xml:space="preserve"> hipSpreadFireAdd 6</t>
  </si>
  <si>
    <t xml:space="preserve"> hipSpreadTurnAdd 1</t>
  </si>
  <si>
    <t xml:space="preserve"> hipSpreadTurnAdd 0.275</t>
  </si>
  <si>
    <t xml:space="preserve"> hipSpreadTurnAdd 0.2775</t>
  </si>
  <si>
    <t xml:space="preserve"> hipSpreadTurnAdd 0.2745</t>
  </si>
  <si>
    <t xml:space="preserve"> hipSpreadTurnAdd 1.5</t>
  </si>
  <si>
    <t xml:space="preserve"> hipSpreadTurnAdd 0.105</t>
  </si>
  <si>
    <t xml:space="preserve"> hipSpreadTurnAdd 0.25</t>
  </si>
  <si>
    <t xml:space="preserve"> hipSpreadTurnAdd 0.2025</t>
  </si>
  <si>
    <t xml:space="preserve"> hipSpreadTurnAdd 0.5</t>
  </si>
  <si>
    <t xml:space="preserve"> hipSpreadTurnAdd 0.225(=4.5/10/2)</t>
  </si>
  <si>
    <t xml:space="preserve"> hipSpreadTurnAdd 0.2225</t>
  </si>
  <si>
    <t xml:space="preserve"> hipSpreadTurnAdd 0.245</t>
  </si>
  <si>
    <t xml:space="preserve"> hipSpreadTurnAdd 2</t>
  </si>
  <si>
    <t xml:space="preserve"> hipSpreadMoveAdd 2</t>
  </si>
  <si>
    <t xml:space="preserve"> hipSpreadMoveAdd 0.275</t>
  </si>
  <si>
    <t xml:space="preserve"> hipSpreadMoveAdd 0.2775</t>
  </si>
  <si>
    <t xml:space="preserve"> hipSpreadMoveAdd 0.2745</t>
  </si>
  <si>
    <t xml:space="preserve"> hipSpreadMoveAdd 3</t>
  </si>
  <si>
    <t xml:space="preserve"> hipSpreadMoveAdd 0.105</t>
  </si>
  <si>
    <t xml:space="preserve"> hipSpreadMoveAdd 0.5</t>
  </si>
  <si>
    <t xml:space="preserve"> hipSpreadMoveAdd 0.2025</t>
  </si>
  <si>
    <t xml:space="preserve"> hipSpreadMoveAdd 1</t>
  </si>
  <si>
    <t xml:space="preserve"> hipSpreadMoveAdd 0.225(=4.5/10/2)</t>
  </si>
  <si>
    <t xml:space="preserve"> hipSpreadMoveAdd 0.2225</t>
  </si>
  <si>
    <t xml:space="preserve"> hipSpreadMoveAdd 0.245</t>
  </si>
  <si>
    <t xml:space="preserve"> hipSpreadMoveAdd 4</t>
  </si>
  <si>
    <t>hipSpreadDecayRate 2.5</t>
  </si>
  <si>
    <t>hipSpreadDecayRate 2</t>
  </si>
  <si>
    <t>hipSpreadDecayRate 2.25</t>
  </si>
  <si>
    <t>hipSpreadDecayRate 3.5</t>
  </si>
  <si>
    <t>hipSpreadDecayRate 3</t>
  </si>
  <si>
    <t>hipSpreadDecayRate 3.25</t>
  </si>
  <si>
    <t>hipSpreadDecayRate 0.5</t>
  </si>
  <si>
    <t>hipSpreadDuckedDecay 1.05</t>
  </si>
  <si>
    <t>hipSpreadProneDecay 1.1</t>
  </si>
  <si>
    <t>Kick</t>
  </si>
  <si>
    <t>gunMaxPitch 53</t>
  </si>
  <si>
    <t>gunMaxPitch 41</t>
  </si>
  <si>
    <t>gunMaxPitch 39</t>
  </si>
  <si>
    <t>gunMaxPitch 22</t>
  </si>
  <si>
    <t>gunMaxPitch 19</t>
  </si>
  <si>
    <t>gunMaxPitch 21</t>
  </si>
  <si>
    <t>gunMaxPitch 48</t>
  </si>
  <si>
    <t>gunMaxPitch 26(=26)</t>
  </si>
  <si>
    <t>gunMaxPitch 34</t>
  </si>
  <si>
    <t>gunMaxPitch 50</t>
  </si>
  <si>
    <t>hipGunKickPitchMin 5</t>
  </si>
  <si>
    <t>hipGunKickPitchMax -15</t>
  </si>
  <si>
    <t>hipGunKickPitchMax -40</t>
  </si>
  <si>
    <t>hipGunKickPitchMax -65</t>
  </si>
  <si>
    <t>adsGunKickPitchMin -2</t>
  </si>
  <si>
    <t>adsGunKickPitchMin 0</t>
  </si>
  <si>
    <t>adsGunKickPitchMin -3</t>
  </si>
  <si>
    <t>adsGunKickPitchMin -1.5</t>
  </si>
  <si>
    <t>adsGunKickPitchMin -2.5</t>
  </si>
  <si>
    <t>adsGunKickPitchMin -4</t>
  </si>
  <si>
    <t>adsGunKickPitchMin -6</t>
  </si>
  <si>
    <t>adsGunKickPitchMax -20</t>
  </si>
  <si>
    <t>adsGunKickPitchMax -25</t>
  </si>
  <si>
    <t>adsGunKickPitchMax -30</t>
  </si>
  <si>
    <t>adsGunKickPitchMax -50</t>
  </si>
  <si>
    <t>adsGunKickPitchMax -75</t>
  </si>
  <si>
    <t>adsGunKickPitchMax -15</t>
  </si>
  <si>
    <t>adsGunKickPitchMax -40</t>
  </si>
  <si>
    <t>adsGunKickPitchMax -60</t>
  </si>
  <si>
    <t>adsGunKickPitchMax -0.5</t>
  </si>
  <si>
    <t>hipViewKickPitchMin -27.5</t>
  </si>
  <si>
    <t>hipViewKickPitchMin -35</t>
  </si>
  <si>
    <t>hipViewKickPitchMin -47.5</t>
  </si>
  <si>
    <t>hipViewKickPitchMax 55</t>
  </si>
  <si>
    <t>hipViewKickPitchMax 70</t>
  </si>
  <si>
    <t>hipViewKickPitchMax 95</t>
  </si>
  <si>
    <t>adsViewKickPitchMin -27.5</t>
  </si>
  <si>
    <t>adsViewKickPitchMin -35</t>
  </si>
  <si>
    <t>adsViewKickPitchMin -47.5</t>
  </si>
  <si>
    <t>adsViewKickPitchMax 55</t>
  </si>
  <si>
    <t>adsViewKickPitchMax 70</t>
  </si>
  <si>
    <t>adsViewKickPitchMax 95</t>
  </si>
  <si>
    <t>State Timers</t>
  </si>
  <si>
    <t>fireTime 0.2</t>
  </si>
  <si>
    <t>fireTime 0.33</t>
  </si>
  <si>
    <t>fireTime 0.08</t>
  </si>
  <si>
    <t>fireTime 0.06</t>
  </si>
  <si>
    <t>Firetime 0.10</t>
  </si>
  <si>
    <t>All drop/raiseTime 0.35</t>
  </si>
  <si>
    <t>All drop/raiseTime 0.3</t>
  </si>
  <si>
    <t>All drop/raiseTime 0.25</t>
  </si>
  <si>
    <t>All drop/raiseTime 0.26(=26/100)</t>
  </si>
  <si>
    <t>grenadeWeapon</t>
  </si>
  <si>
    <t>reloadTime 4.5</t>
  </si>
  <si>
    <t xml:space="preserve"> explosionInnerDamage 6666</t>
  </si>
  <si>
    <t>reloadAddTime 5.25</t>
  </si>
  <si>
    <t xml:space="preserve"> explosionOuterDamage 666</t>
  </si>
  <si>
    <t>reloadEmptyTime 4.5</t>
  </si>
  <si>
    <t xml:space="preserve"> explosionRadius 236</t>
  </si>
  <si>
    <t xml:space="preserve"> projectileSpeed 6666</t>
  </si>
</sst>
</file>

<file path=xl/styles.xml><?xml version="1.0" encoding="utf-8"?>
<styleSheet xmlns="http://schemas.openxmlformats.org/spreadsheetml/2006/main">
  <numFmts count="10">
    <numFmt numFmtId="176" formatCode="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0_ "/>
    <numFmt numFmtId="178" formatCode="0.00_);[Red]\(0.00\)"/>
    <numFmt numFmtId="179" formatCode="0.00_ "/>
    <numFmt numFmtId="180" formatCode="0.0_ "/>
    <numFmt numFmtId="181" formatCode="0_);[Red]\(0\)"/>
  </numFmts>
  <fonts count="28">
    <font>
      <sz val="11"/>
      <color indexed="8"/>
      <name val="宋体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1"/>
      <color indexed="10"/>
      <name val="微软雅黑"/>
      <charset val="134"/>
    </font>
    <font>
      <b/>
      <sz val="11"/>
      <color indexed="8"/>
      <name val="宋体"/>
      <charset val="134"/>
    </font>
    <font>
      <sz val="11"/>
      <color indexed="9"/>
      <name val="微软雅黑"/>
      <charset val="134"/>
    </font>
    <font>
      <sz val="11"/>
      <name val="宋体"/>
      <charset val="134"/>
    </font>
    <font>
      <sz val="11"/>
      <color indexed="9"/>
      <name val="宋体"/>
      <charset val="134"/>
    </font>
    <font>
      <sz val="11"/>
      <color indexed="51"/>
      <name val="微软雅黑"/>
      <charset val="134"/>
    </font>
    <font>
      <b/>
      <sz val="18"/>
      <color indexed="62"/>
      <name val="宋体"/>
      <charset val="134"/>
    </font>
    <font>
      <u/>
      <sz val="11"/>
      <color indexed="12"/>
      <name val="宋体"/>
      <charset val="0"/>
    </font>
    <font>
      <b/>
      <sz val="13"/>
      <color indexed="62"/>
      <name val="宋体"/>
      <charset val="134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sz val="11"/>
      <color indexed="60"/>
      <name val="宋体"/>
      <charset val="0"/>
    </font>
    <font>
      <b/>
      <sz val="11"/>
      <color indexed="9"/>
      <name val="宋体"/>
      <charset val="0"/>
    </font>
    <font>
      <sz val="11"/>
      <color indexed="62"/>
      <name val="宋体"/>
      <charset val="0"/>
    </font>
    <font>
      <b/>
      <sz val="11"/>
      <color indexed="63"/>
      <name val="宋体"/>
      <charset val="0"/>
    </font>
    <font>
      <b/>
      <sz val="15"/>
      <color indexed="62"/>
      <name val="宋体"/>
      <charset val="134"/>
    </font>
    <font>
      <u/>
      <sz val="11"/>
      <color indexed="20"/>
      <name val="宋体"/>
      <charset val="0"/>
    </font>
    <font>
      <b/>
      <sz val="11"/>
      <color indexed="62"/>
      <name val="宋体"/>
      <charset val="134"/>
    </font>
    <font>
      <i/>
      <sz val="11"/>
      <color indexed="23"/>
      <name val="宋体"/>
      <charset val="0"/>
    </font>
    <font>
      <sz val="11"/>
      <color indexed="10"/>
      <name val="宋体"/>
      <charset val="0"/>
    </font>
    <font>
      <b/>
      <sz val="11"/>
      <color indexed="8"/>
      <name val="宋体"/>
      <charset val="0"/>
    </font>
    <font>
      <b/>
      <sz val="11"/>
      <color indexed="52"/>
      <name val="宋体"/>
      <charset val="0"/>
    </font>
    <font>
      <sz val="11"/>
      <color indexed="17"/>
      <name val="宋体"/>
      <charset val="0"/>
    </font>
    <font>
      <sz val="11"/>
      <color indexed="52"/>
      <name val="宋体"/>
      <charset val="0"/>
    </font>
  </fonts>
  <fills count="1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 applyBorder="0">
      <alignment vertical="center"/>
    </xf>
    <xf numFmtId="0" fontId="12" fillId="0" borderId="7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3" borderId="11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20" applyFont="1" applyAlignment="1">
      <alignment horizontal="center" vertical="center"/>
    </xf>
    <xf numFmtId="0" fontId="2" fillId="0" borderId="0" xfId="20" applyFont="1" applyAlignment="1">
      <alignment horizontal="center" vertical="center"/>
    </xf>
    <xf numFmtId="0" fontId="2" fillId="2" borderId="0" xfId="20" applyFont="1" applyFill="1" applyAlignment="1">
      <alignment horizontal="center" vertical="center"/>
    </xf>
    <xf numFmtId="0" fontId="3" fillId="0" borderId="0" xfId="20" applyFont="1" applyAlignment="1">
      <alignment horizontal="center" vertical="center"/>
    </xf>
    <xf numFmtId="0" fontId="4" fillId="0" borderId="0" xfId="20" applyFont="1" applyAlignment="1">
      <alignment horizontal="center" vertical="center"/>
    </xf>
    <xf numFmtId="0" fontId="1" fillId="2" borderId="0" xfId="20" applyFont="1" applyFill="1" applyAlignment="1">
      <alignment horizontal="center" vertical="center"/>
    </xf>
    <xf numFmtId="0" fontId="4" fillId="2" borderId="0" xfId="20" applyFont="1" applyFill="1" applyAlignment="1">
      <alignment horizontal="center" vertical="center"/>
    </xf>
    <xf numFmtId="0" fontId="3" fillId="2" borderId="0" xfId="20" applyFont="1" applyFill="1" applyAlignment="1">
      <alignment horizontal="center" vertical="center"/>
    </xf>
    <xf numFmtId="176" fontId="2" fillId="0" borderId="0" xfId="20" applyNumberFormat="1" applyFont="1" applyAlignment="1">
      <alignment horizontal="center" vertical="center"/>
    </xf>
    <xf numFmtId="49" fontId="2" fillId="0" borderId="0" xfId="20" applyNumberFormat="1" applyFont="1" applyAlignment="1">
      <alignment horizontal="center" vertical="center"/>
    </xf>
    <xf numFmtId="0" fontId="5" fillId="0" borderId="0" xfId="20" applyFont="1">
      <alignment vertical="center"/>
    </xf>
    <xf numFmtId="0" fontId="2" fillId="0" borderId="1" xfId="20" applyFont="1" applyBorder="1" applyAlignment="1">
      <alignment horizontal="center" vertical="center"/>
    </xf>
    <xf numFmtId="0" fontId="2" fillId="0" borderId="1" xfId="20" applyFont="1" applyFill="1" applyBorder="1" applyAlignment="1">
      <alignment horizontal="center" vertical="center"/>
    </xf>
    <xf numFmtId="0" fontId="1" fillId="0" borderId="2" xfId="20" applyFont="1" applyBorder="1" applyAlignment="1">
      <alignment horizontal="center" vertical="center"/>
    </xf>
    <xf numFmtId="0" fontId="1" fillId="0" borderId="2" xfId="20" applyFont="1" applyFill="1" applyBorder="1" applyAlignment="1">
      <alignment horizontal="center" vertical="center"/>
    </xf>
    <xf numFmtId="0" fontId="1" fillId="0" borderId="1" xfId="20" applyFont="1" applyFill="1" applyBorder="1" applyAlignment="1">
      <alignment horizontal="center" vertical="center"/>
    </xf>
    <xf numFmtId="0" fontId="2" fillId="0" borderId="3" xfId="20" applyFont="1" applyBorder="1" applyAlignment="1">
      <alignment horizontal="center" vertical="center"/>
    </xf>
    <xf numFmtId="0" fontId="2" fillId="0" borderId="4" xfId="20" applyFont="1" applyBorder="1" applyAlignment="1">
      <alignment horizontal="center" vertical="center"/>
    </xf>
    <xf numFmtId="176" fontId="2" fillId="0" borderId="2" xfId="20" applyNumberFormat="1" applyFont="1" applyFill="1" applyBorder="1" applyAlignment="1">
      <alignment horizontal="center" vertical="center"/>
    </xf>
    <xf numFmtId="176" fontId="2" fillId="0" borderId="1" xfId="20" applyNumberFormat="1" applyFont="1" applyFill="1" applyBorder="1" applyAlignment="1">
      <alignment horizontal="center" vertical="center"/>
    </xf>
    <xf numFmtId="0" fontId="2" fillId="0" borderId="5" xfId="20" applyFont="1" applyBorder="1" applyAlignment="1">
      <alignment horizontal="center" vertical="center"/>
    </xf>
    <xf numFmtId="178" fontId="2" fillId="0" borderId="1" xfId="20" applyNumberFormat="1" applyFont="1" applyBorder="1" applyAlignment="1">
      <alignment horizontal="center" vertical="center"/>
    </xf>
    <xf numFmtId="49" fontId="1" fillId="0" borderId="1" xfId="20" applyNumberFormat="1" applyFont="1" applyFill="1" applyBorder="1" applyAlignment="1">
      <alignment horizontal="center" vertical="center"/>
    </xf>
    <xf numFmtId="178" fontId="2" fillId="0" borderId="0" xfId="20" applyNumberFormat="1" applyFont="1" applyAlignment="1">
      <alignment horizontal="center" vertical="center"/>
    </xf>
    <xf numFmtId="179" fontId="2" fillId="0" borderId="0" xfId="20" applyNumberFormat="1" applyFont="1" applyAlignment="1">
      <alignment horizontal="center" vertical="center"/>
    </xf>
    <xf numFmtId="176" fontId="2" fillId="0" borderId="1" xfId="20" applyNumberFormat="1" applyFont="1" applyFill="1" applyBorder="1" applyAlignment="1">
      <alignment vertical="center"/>
    </xf>
    <xf numFmtId="0" fontId="1" fillId="0" borderId="1" xfId="20" applyFont="1" applyBorder="1" applyAlignment="1">
      <alignment horizontal="center" vertical="center"/>
    </xf>
    <xf numFmtId="179" fontId="2" fillId="0" borderId="1" xfId="20" applyNumberFormat="1" applyFont="1" applyBorder="1" applyAlignment="1">
      <alignment horizontal="center" vertical="center"/>
    </xf>
    <xf numFmtId="179" fontId="2" fillId="0" borderId="1" xfId="20" applyNumberFormat="1" applyFont="1" applyFill="1" applyBorder="1" applyAlignment="1">
      <alignment horizontal="center" vertical="center"/>
    </xf>
    <xf numFmtId="176" fontId="2" fillId="0" borderId="1" xfId="20" applyNumberFormat="1" applyFont="1" applyBorder="1" applyAlignment="1">
      <alignment horizontal="center" vertical="center"/>
    </xf>
    <xf numFmtId="179" fontId="6" fillId="0" borderId="0" xfId="20" applyNumberFormat="1" applyFont="1" applyAlignment="1">
      <alignment horizontal="center" vertical="center"/>
    </xf>
    <xf numFmtId="179" fontId="3" fillId="0" borderId="1" xfId="20" applyNumberFormat="1" applyFont="1" applyBorder="1" applyAlignment="1">
      <alignment horizontal="center" vertical="center"/>
    </xf>
    <xf numFmtId="0" fontId="3" fillId="0" borderId="1" xfId="20" applyFont="1" applyBorder="1" applyAlignment="1">
      <alignment horizontal="center" vertical="center"/>
    </xf>
    <xf numFmtId="49" fontId="3" fillId="0" borderId="1" xfId="20" applyNumberFormat="1" applyFont="1" applyBorder="1" applyAlignment="1">
      <alignment horizontal="center" vertical="center"/>
    </xf>
    <xf numFmtId="0" fontId="7" fillId="0" borderId="0" xfId="20" applyFont="1">
      <alignment vertical="center"/>
    </xf>
    <xf numFmtId="176" fontId="2" fillId="0" borderId="0" xfId="20" applyNumberFormat="1" applyFont="1" applyAlignment="1">
      <alignment horizontal="center" vertical="center" wrapText="1"/>
    </xf>
    <xf numFmtId="179" fontId="2" fillId="0" borderId="0" xfId="20" applyNumberFormat="1" applyFont="1" applyAlignment="1">
      <alignment horizontal="center" vertical="center" wrapText="1"/>
    </xf>
    <xf numFmtId="180" fontId="2" fillId="0" borderId="0" xfId="20" applyNumberFormat="1" applyFont="1" applyAlignment="1">
      <alignment horizontal="center" vertical="center" wrapText="1"/>
    </xf>
    <xf numFmtId="177" fontId="2" fillId="0" borderId="0" xfId="20" applyNumberFormat="1" applyFont="1" applyAlignment="1">
      <alignment horizontal="center" vertical="center" wrapText="1"/>
    </xf>
    <xf numFmtId="0" fontId="1" fillId="0" borderId="0" xfId="20" applyFont="1" applyAlignment="1">
      <alignment horizontal="center" vertical="center" wrapText="1"/>
    </xf>
    <xf numFmtId="0" fontId="2" fillId="0" borderId="0" xfId="20" applyFont="1" applyAlignment="1">
      <alignment horizontal="center" vertical="center" wrapText="1"/>
    </xf>
    <xf numFmtId="176" fontId="1" fillId="0" borderId="0" xfId="20" applyNumberFormat="1" applyFont="1" applyAlignment="1">
      <alignment horizontal="center" vertical="center" wrapText="1"/>
    </xf>
    <xf numFmtId="179" fontId="1" fillId="0" borderId="0" xfId="20" applyNumberFormat="1" applyFont="1" applyAlignment="1">
      <alignment horizontal="center" vertical="center" wrapText="1"/>
    </xf>
    <xf numFmtId="180" fontId="1" fillId="0" borderId="0" xfId="20" applyNumberFormat="1" applyFont="1" applyAlignment="1">
      <alignment horizontal="center" vertical="center" wrapText="1"/>
    </xf>
    <xf numFmtId="177" fontId="1" fillId="0" borderId="0" xfId="20" applyNumberFormat="1" applyFont="1" applyAlignment="1">
      <alignment horizontal="center" vertical="center" wrapText="1"/>
    </xf>
    <xf numFmtId="180" fontId="0" fillId="0" borderId="0" xfId="20" applyNumberFormat="1">
      <alignment vertical="center"/>
    </xf>
    <xf numFmtId="177" fontId="0" fillId="0" borderId="0" xfId="20" applyNumberFormat="1">
      <alignment vertical="center"/>
    </xf>
    <xf numFmtId="0" fontId="1" fillId="0" borderId="6" xfId="20" applyFont="1" applyBorder="1" applyAlignment="1">
      <alignment horizontal="center" vertical="center" wrapText="1"/>
    </xf>
    <xf numFmtId="0" fontId="0" fillId="0" borderId="6" xfId="2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6" xfId="20" applyFont="1" applyBorder="1" applyAlignment="1">
      <alignment horizontal="center" vertical="center" wrapText="1"/>
    </xf>
    <xf numFmtId="176" fontId="2" fillId="0" borderId="6" xfId="20" applyNumberFormat="1" applyFont="1" applyBorder="1" applyAlignment="1">
      <alignment horizontal="center" vertical="center" wrapText="1"/>
    </xf>
    <xf numFmtId="181" fontId="2" fillId="0" borderId="0" xfId="20" applyNumberFormat="1" applyFont="1" applyAlignment="1">
      <alignment horizontal="center" vertical="center" wrapText="1"/>
    </xf>
    <xf numFmtId="178" fontId="2" fillId="0" borderId="6" xfId="20" applyNumberFormat="1" applyFont="1" applyBorder="1" applyAlignment="1">
      <alignment horizontal="center" vertical="center" wrapText="1"/>
    </xf>
    <xf numFmtId="179" fontId="2" fillId="0" borderId="6" xfId="20" applyNumberFormat="1" applyFont="1" applyBorder="1" applyAlignment="1">
      <alignment horizontal="center" vertical="center" wrapText="1"/>
    </xf>
    <xf numFmtId="178" fontId="2" fillId="0" borderId="0" xfId="20" applyNumberFormat="1" applyFont="1" applyAlignment="1">
      <alignment horizontal="center" vertical="center" wrapText="1"/>
    </xf>
    <xf numFmtId="176" fontId="6" fillId="0" borderId="6" xfId="20" applyNumberFormat="1" applyFont="1" applyFill="1" applyBorder="1" applyAlignment="1">
      <alignment horizontal="center" vertical="center" wrapText="1"/>
    </xf>
    <xf numFmtId="0" fontId="8" fillId="0" borderId="6" xfId="20" applyFont="1" applyBorder="1" applyAlignment="1">
      <alignment vertical="center" wrapText="1"/>
    </xf>
    <xf numFmtId="176" fontId="6" fillId="0" borderId="0" xfId="20" applyNumberFormat="1" applyFont="1" applyFill="1" applyAlignment="1">
      <alignment horizontal="center" vertical="center" wrapText="1"/>
    </xf>
    <xf numFmtId="0" fontId="8" fillId="0" borderId="0" xfId="20" applyFont="1" applyAlignment="1">
      <alignment vertical="center" wrapText="1"/>
    </xf>
    <xf numFmtId="0" fontId="6" fillId="0" borderId="0" xfId="20" applyFont="1" applyAlignment="1">
      <alignment horizontal="center" vertical="center" wrapText="1"/>
    </xf>
    <xf numFmtId="0" fontId="6" fillId="0" borderId="0" xfId="20" applyFont="1" applyFill="1" applyAlignment="1">
      <alignment horizontal="center" vertical="center" wrapText="1"/>
    </xf>
    <xf numFmtId="181" fontId="6" fillId="0" borderId="0" xfId="20" applyNumberFormat="1" applyFont="1" applyAlignment="1">
      <alignment horizontal="center" vertical="center" wrapText="1"/>
    </xf>
    <xf numFmtId="0" fontId="6" fillId="0" borderId="6" xfId="20" applyFont="1" applyBorder="1" applyAlignment="1">
      <alignment horizontal="center" vertical="center" wrapText="1"/>
    </xf>
    <xf numFmtId="176" fontId="6" fillId="0" borderId="0" xfId="20" applyNumberFormat="1" applyFont="1" applyAlignment="1">
      <alignment horizontal="center" vertical="center" wrapText="1"/>
    </xf>
    <xf numFmtId="0" fontId="1" fillId="0" borderId="6" xfId="20" applyFont="1" applyBorder="1" applyAlignment="1">
      <alignment horizontal="center" vertical="center"/>
    </xf>
    <xf numFmtId="0" fontId="0" fillId="0" borderId="6" xfId="20" applyBorder="1">
      <alignment vertical="center"/>
    </xf>
    <xf numFmtId="0" fontId="2" fillId="0" borderId="6" xfId="20" applyFont="1" applyBorder="1" applyAlignment="1">
      <alignment horizontal="center" vertical="center"/>
    </xf>
    <xf numFmtId="176" fontId="2" fillId="0" borderId="6" xfId="20" applyNumberFormat="1" applyFont="1" applyBorder="1" applyAlignment="1">
      <alignment horizontal="center" vertical="center"/>
    </xf>
    <xf numFmtId="181" fontId="2" fillId="0" borderId="0" xfId="20" applyNumberFormat="1" applyFont="1" applyAlignment="1">
      <alignment horizontal="center" vertical="center"/>
    </xf>
    <xf numFmtId="0" fontId="2" fillId="0" borderId="6" xfId="20" applyFont="1" applyFill="1" applyBorder="1" applyAlignment="1">
      <alignment horizontal="center" vertical="center"/>
    </xf>
    <xf numFmtId="180" fontId="2" fillId="0" borderId="0" xfId="20" applyNumberFormat="1" applyFont="1" applyAlignment="1">
      <alignment horizontal="center" vertical="center"/>
    </xf>
    <xf numFmtId="178" fontId="2" fillId="0" borderId="6" xfId="20" applyNumberFormat="1" applyFont="1" applyBorder="1" applyAlignment="1">
      <alignment horizontal="center" vertical="center"/>
    </xf>
    <xf numFmtId="179" fontId="2" fillId="0" borderId="6" xfId="20" applyNumberFormat="1" applyFont="1" applyBorder="1" applyAlignment="1">
      <alignment horizontal="center" vertical="center"/>
    </xf>
    <xf numFmtId="0" fontId="2" fillId="0" borderId="0" xfId="20" applyFont="1" applyBorder="1" applyAlignment="1">
      <alignment horizontal="center" vertical="center" wrapText="1"/>
    </xf>
    <xf numFmtId="179" fontId="9" fillId="0" borderId="0" xfId="20" applyNumberFormat="1" applyFont="1" applyAlignment="1">
      <alignment horizontal="center" vertical="center"/>
    </xf>
    <xf numFmtId="176" fontId="6" fillId="0" borderId="6" xfId="20" applyNumberFormat="1" applyFont="1" applyFill="1" applyBorder="1" applyAlignment="1">
      <alignment horizontal="center" vertical="center"/>
    </xf>
    <xf numFmtId="176" fontId="6" fillId="0" borderId="0" xfId="20" applyNumberFormat="1" applyFont="1" applyFill="1" applyAlignment="1">
      <alignment horizontal="center" vertical="center"/>
    </xf>
    <xf numFmtId="0" fontId="6" fillId="0" borderId="0" xfId="20" applyFont="1" applyAlignment="1">
      <alignment horizontal="center" vertical="center"/>
    </xf>
    <xf numFmtId="0" fontId="6" fillId="0" borderId="0" xfId="20" applyFont="1" applyFill="1" applyAlignment="1">
      <alignment horizontal="center" vertical="center"/>
    </xf>
    <xf numFmtId="181" fontId="6" fillId="0" borderId="0" xfId="20" applyNumberFormat="1" applyFont="1" applyAlignment="1">
      <alignment horizontal="center" vertical="center"/>
    </xf>
    <xf numFmtId="0" fontId="6" fillId="0" borderId="6" xfId="20" applyFont="1" applyBorder="1" applyAlignment="1">
      <alignment horizontal="center" vertical="center"/>
    </xf>
    <xf numFmtId="176" fontId="6" fillId="0" borderId="0" xfId="20" applyNumberFormat="1" applyFont="1" applyAlignment="1">
      <alignment horizontal="center" vertical="center"/>
    </xf>
    <xf numFmtId="0" fontId="8" fillId="0" borderId="0" xfId="20" applyFont="1">
      <alignment vertical="center"/>
    </xf>
    <xf numFmtId="0" fontId="2" fillId="0" borderId="6" xfId="20" applyFont="1" applyFill="1" applyBorder="1" applyAlignment="1">
      <alignment horizontal="center" vertical="center" wrapText="1"/>
    </xf>
    <xf numFmtId="179" fontId="9" fillId="0" borderId="0" xfId="20" applyNumberFormat="1" applyFont="1" applyAlignment="1">
      <alignment horizontal="center" vertical="center" wrapText="1"/>
    </xf>
    <xf numFmtId="176" fontId="9" fillId="0" borderId="0" xfId="20" applyNumberFormat="1" applyFont="1" applyAlignment="1">
      <alignment horizontal="center" vertical="center" wrapText="1"/>
    </xf>
    <xf numFmtId="0" fontId="0" fillId="0" borderId="0" xfId="20" applyBorder="1" applyAlignment="1">
      <alignment vertical="center" wrapText="1"/>
    </xf>
    <xf numFmtId="181" fontId="2" fillId="0" borderId="6" xfId="20" applyNumberFormat="1" applyFont="1" applyBorder="1" applyAlignment="1">
      <alignment horizontal="center" vertical="center" wrapText="1"/>
    </xf>
    <xf numFmtId="0" fontId="2" fillId="0" borderId="0" xfId="20" applyFont="1" applyFill="1" applyAlignment="1">
      <alignment horizontal="center" vertical="center" wrapText="1"/>
    </xf>
    <xf numFmtId="176" fontId="2" fillId="0" borderId="6" xfId="20" applyNumberFormat="1" applyFont="1" applyFill="1" applyBorder="1" applyAlignment="1">
      <alignment horizontal="center" vertical="center" wrapText="1"/>
    </xf>
    <xf numFmtId="176" fontId="2" fillId="0" borderId="0" xfId="20" applyNumberFormat="1" applyFont="1" applyFill="1" applyAlignment="1">
      <alignment horizontal="center" vertical="center" wrapText="1"/>
    </xf>
    <xf numFmtId="0" fontId="1" fillId="0" borderId="0" xfId="20" applyFont="1" applyFill="1" applyAlignment="1">
      <alignment horizontal="center" vertical="center" wrapText="1"/>
    </xf>
    <xf numFmtId="179" fontId="2" fillId="0" borderId="0" xfId="20" applyNumberFormat="1" applyFont="1" applyFill="1" applyAlignment="1">
      <alignment horizontal="center" vertical="center" wrapText="1"/>
    </xf>
    <xf numFmtId="179" fontId="2" fillId="0" borderId="6" xfId="20" applyNumberFormat="1" applyFont="1" applyFill="1" applyBorder="1" applyAlignment="1">
      <alignment horizontal="center" vertical="center" wrapText="1"/>
    </xf>
    <xf numFmtId="178" fontId="2" fillId="0" borderId="0" xfId="20" applyNumberFormat="1" applyFont="1" applyFill="1" applyAlignment="1">
      <alignment horizontal="center" vertical="center" wrapText="1"/>
    </xf>
    <xf numFmtId="180" fontId="2" fillId="0" borderId="0" xfId="20" applyNumberFormat="1" applyFont="1" applyFill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STR_STYLE_Normal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STR_STYLE_20P_ACCENT_1" xfId="50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77"/>
  <sheetViews>
    <sheetView tabSelected="1" zoomScale="85" zoomScaleNormal="85" topLeftCell="B1" workbookViewId="0">
      <pane xSplit="1" ySplit="1" topLeftCell="F20" activePane="bottomRight" state="frozen"/>
      <selection/>
      <selection pane="topRight"/>
      <selection pane="bottomLeft"/>
      <selection pane="bottomRight" activeCell="J1" sqref="J$1:J$1048576"/>
    </sheetView>
  </sheetViews>
  <sheetFormatPr defaultColWidth="9" defaultRowHeight="16.5"/>
  <cols>
    <col min="1" max="1" width="15.375" style="41" customWidth="1"/>
    <col min="2" max="2" width="29.4083333333333" style="41" customWidth="1"/>
    <col min="3" max="3" width="12.75" style="41" customWidth="1"/>
    <col min="4" max="4" width="12.75" style="90" customWidth="1"/>
    <col min="5" max="7" width="12.75" style="41" customWidth="1"/>
    <col min="8" max="8" width="15.5" style="41" customWidth="1"/>
    <col min="9" max="10" width="12.75" style="41" customWidth="1"/>
    <col min="11" max="11" width="18.125" style="41" customWidth="1"/>
    <col min="12" max="12" width="12.75" style="41" customWidth="1"/>
    <col min="13" max="29" width="9" style="41"/>
    <col min="30" max="30" width="15.625" style="90" customWidth="1"/>
    <col min="31" max="34" width="9" style="41"/>
    <col min="35" max="35" width="15.625" style="90" customWidth="1"/>
    <col min="36" max="39" width="9" style="41"/>
    <col min="40" max="40" width="15.625" style="41" customWidth="1"/>
    <col min="41" max="44" width="9" style="41"/>
    <col min="45" max="45" width="15.625" style="41" customWidth="1"/>
    <col min="46" max="16384" width="9" style="41"/>
  </cols>
  <sheetData>
    <row r="1" s="40" customFormat="1" ht="30" spans="3:35">
      <c r="C1" s="40" t="s">
        <v>0</v>
      </c>
      <c r="D1" s="93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AD1" s="93"/>
      <c r="AI1" s="93"/>
    </row>
    <row r="2" s="48" customFormat="1" ht="30" spans="1:45">
      <c r="A2" s="40" t="s">
        <v>9</v>
      </c>
      <c r="B2" s="51" t="s">
        <v>10</v>
      </c>
      <c r="C2" s="51" t="s">
        <v>11</v>
      </c>
      <c r="D2" s="51" t="s">
        <v>11</v>
      </c>
      <c r="E2" s="51" t="s">
        <v>11</v>
      </c>
      <c r="F2" s="51" t="s">
        <v>11</v>
      </c>
      <c r="G2" s="51" t="s">
        <v>11</v>
      </c>
      <c r="H2" s="51" t="s">
        <v>11</v>
      </c>
      <c r="I2" s="51" t="s">
        <v>11</v>
      </c>
      <c r="J2" s="51" t="s">
        <v>11</v>
      </c>
      <c r="K2" s="51" t="s">
        <v>11</v>
      </c>
      <c r="L2" s="51"/>
      <c r="AD2" s="85"/>
      <c r="AI2" s="85"/>
      <c r="AN2" s="51"/>
      <c r="AS2" s="51"/>
    </row>
    <row r="3" spans="2:11">
      <c r="B3" s="41" t="s">
        <v>12</v>
      </c>
      <c r="C3" s="41" t="s">
        <v>13</v>
      </c>
      <c r="D3" s="90" t="s">
        <v>14</v>
      </c>
      <c r="E3" s="41" t="s">
        <v>13</v>
      </c>
      <c r="F3" s="41" t="s">
        <v>14</v>
      </c>
      <c r="G3" s="41" t="s">
        <v>13</v>
      </c>
      <c r="H3" s="41" t="s">
        <v>14</v>
      </c>
      <c r="I3" s="41" t="s">
        <v>15</v>
      </c>
      <c r="J3" s="41" t="s">
        <v>14</v>
      </c>
      <c r="K3" s="41" t="s">
        <v>13</v>
      </c>
    </row>
    <row r="4" spans="2:11">
      <c r="B4" s="41" t="s">
        <v>16</v>
      </c>
      <c r="C4" s="41" t="s">
        <v>17</v>
      </c>
      <c r="D4" s="90" t="s">
        <v>18</v>
      </c>
      <c r="E4" s="41" t="s">
        <v>17</v>
      </c>
      <c r="F4" s="41" t="s">
        <v>18</v>
      </c>
      <c r="G4" s="41" t="s">
        <v>17</v>
      </c>
      <c r="H4" s="41" t="s">
        <v>18</v>
      </c>
      <c r="I4" s="41" t="s">
        <v>18</v>
      </c>
      <c r="J4" s="41" t="s">
        <v>18</v>
      </c>
      <c r="K4" s="41" t="s">
        <v>17</v>
      </c>
    </row>
    <row r="5" spans="2:11">
      <c r="B5" s="41" t="s">
        <v>19</v>
      </c>
      <c r="C5" s="41" t="s">
        <v>20</v>
      </c>
      <c r="D5" s="90" t="s">
        <v>21</v>
      </c>
      <c r="E5" s="41" t="s">
        <v>20</v>
      </c>
      <c r="F5" s="41" t="s">
        <v>21</v>
      </c>
      <c r="G5" s="41" t="s">
        <v>20</v>
      </c>
      <c r="H5" s="41" t="s">
        <v>21</v>
      </c>
      <c r="I5" s="41" t="s">
        <v>21</v>
      </c>
      <c r="J5" s="41" t="s">
        <v>21</v>
      </c>
      <c r="K5" s="41" t="s">
        <v>20</v>
      </c>
    </row>
    <row r="6" ht="33" spans="2:11">
      <c r="B6" s="41" t="s">
        <v>22</v>
      </c>
      <c r="C6" s="41" t="s">
        <v>23</v>
      </c>
      <c r="D6" s="90" t="s">
        <v>24</v>
      </c>
      <c r="E6" s="41" t="s">
        <v>23</v>
      </c>
      <c r="F6" s="41" t="s">
        <v>24</v>
      </c>
      <c r="G6" s="41" t="s">
        <v>23</v>
      </c>
      <c r="H6" s="41" t="s">
        <v>24</v>
      </c>
      <c r="I6" s="41" t="s">
        <v>24</v>
      </c>
      <c r="J6" s="41" t="s">
        <v>24</v>
      </c>
      <c r="K6" s="41" t="s">
        <v>23</v>
      </c>
    </row>
    <row r="7" ht="33" spans="2:11">
      <c r="B7" s="41" t="s">
        <v>25</v>
      </c>
      <c r="C7" s="41" t="s">
        <v>23</v>
      </c>
      <c r="D7" s="90" t="s">
        <v>23</v>
      </c>
      <c r="E7" s="41" t="s">
        <v>23</v>
      </c>
      <c r="F7" s="41" t="s">
        <v>23</v>
      </c>
      <c r="G7" s="41" t="s">
        <v>23</v>
      </c>
      <c r="H7" s="41" t="s">
        <v>23</v>
      </c>
      <c r="I7" s="41" t="s">
        <v>23</v>
      </c>
      <c r="J7" s="41" t="s">
        <v>23</v>
      </c>
      <c r="K7" s="41" t="s">
        <v>23</v>
      </c>
    </row>
    <row r="8" ht="33" spans="2:11">
      <c r="B8" s="41" t="s">
        <v>26</v>
      </c>
      <c r="C8" s="41" t="s">
        <v>23</v>
      </c>
      <c r="D8" s="90" t="s">
        <v>24</v>
      </c>
      <c r="E8" s="41" t="s">
        <v>23</v>
      </c>
      <c r="F8" s="41" t="s">
        <v>23</v>
      </c>
      <c r="G8" s="41" t="s">
        <v>23</v>
      </c>
      <c r="H8" s="41" t="s">
        <v>23</v>
      </c>
      <c r="I8" s="41" t="s">
        <v>23</v>
      </c>
      <c r="J8" s="41" t="s">
        <v>23</v>
      </c>
      <c r="K8" s="41" t="s">
        <v>23</v>
      </c>
    </row>
    <row r="9" ht="33" spans="2:11">
      <c r="B9" s="41" t="s">
        <v>27</v>
      </c>
      <c r="C9" s="41" t="s">
        <v>23</v>
      </c>
      <c r="D9" s="90" t="s">
        <v>23</v>
      </c>
      <c r="E9" s="41" t="s">
        <v>23</v>
      </c>
      <c r="F9" s="41" t="s">
        <v>23</v>
      </c>
      <c r="G9" s="41" t="s">
        <v>23</v>
      </c>
      <c r="H9" s="41" t="s">
        <v>23</v>
      </c>
      <c r="I9" s="41" t="s">
        <v>23</v>
      </c>
      <c r="J9" s="41" t="s">
        <v>23</v>
      </c>
      <c r="K9" s="41" t="s">
        <v>23</v>
      </c>
    </row>
    <row r="10" spans="2:11">
      <c r="B10" s="41" t="s">
        <v>28</v>
      </c>
      <c r="C10" s="41" t="s">
        <v>24</v>
      </c>
      <c r="D10" s="90" t="s">
        <v>24</v>
      </c>
      <c r="E10" s="41" t="s">
        <v>24</v>
      </c>
      <c r="F10" s="41" t="s">
        <v>24</v>
      </c>
      <c r="G10" s="41" t="s">
        <v>24</v>
      </c>
      <c r="H10" s="41" t="s">
        <v>24</v>
      </c>
      <c r="I10" s="41" t="s">
        <v>24</v>
      </c>
      <c r="J10" s="41" t="s">
        <v>24</v>
      </c>
      <c r="K10" s="41" t="s">
        <v>24</v>
      </c>
    </row>
    <row r="11" ht="33" spans="2:11">
      <c r="B11" s="41" t="s">
        <v>29</v>
      </c>
      <c r="C11" s="41" t="s">
        <v>30</v>
      </c>
      <c r="D11" s="90" t="s">
        <v>30</v>
      </c>
      <c r="E11" s="41" t="s">
        <v>31</v>
      </c>
      <c r="F11" s="41" t="s">
        <v>30</v>
      </c>
      <c r="G11" s="41" t="s">
        <v>30</v>
      </c>
      <c r="H11" s="41" t="s">
        <v>31</v>
      </c>
      <c r="I11" s="41" t="s">
        <v>31</v>
      </c>
      <c r="J11" s="41" t="s">
        <v>31</v>
      </c>
      <c r="K11" s="41" t="s">
        <v>30</v>
      </c>
    </row>
    <row r="12" spans="2:11">
      <c r="B12" s="41" t="s">
        <v>32</v>
      </c>
      <c r="C12" s="41" t="s">
        <v>23</v>
      </c>
      <c r="D12" s="90" t="s">
        <v>23</v>
      </c>
      <c r="E12" s="41" t="s">
        <v>23</v>
      </c>
      <c r="F12" s="41" t="s">
        <v>23</v>
      </c>
      <c r="G12" s="41" t="s">
        <v>23</v>
      </c>
      <c r="H12" s="41" t="s">
        <v>23</v>
      </c>
      <c r="I12" s="41" t="s">
        <v>23</v>
      </c>
      <c r="J12" s="41" t="s">
        <v>23</v>
      </c>
      <c r="K12" s="41" t="s">
        <v>23</v>
      </c>
    </row>
    <row r="13" s="51" customFormat="1" ht="30" spans="1:45">
      <c r="A13" s="48" t="s">
        <v>33</v>
      </c>
      <c r="B13" s="51" t="s">
        <v>34</v>
      </c>
      <c r="C13" s="52">
        <f>一些设定!J6/2</f>
        <v>257.175</v>
      </c>
      <c r="D13" s="91">
        <f>一些设定!D6/2</f>
        <v>390.525</v>
      </c>
      <c r="E13" s="52">
        <f>一些设定!L6/2</f>
        <v>228.6</v>
      </c>
      <c r="F13" s="52">
        <f>一些设定!D6/2</f>
        <v>390.525</v>
      </c>
      <c r="G13" s="52">
        <f>一些设定!L6/2</f>
        <v>228.6</v>
      </c>
      <c r="H13" s="52">
        <f>一些设定!D6/2</f>
        <v>390.525</v>
      </c>
      <c r="I13" s="52">
        <f>一些设定!D6/2</f>
        <v>390.525</v>
      </c>
      <c r="J13" s="52">
        <f>一些设定!G6/2</f>
        <v>291.9</v>
      </c>
      <c r="K13" s="52">
        <f>一些设定!K6/2</f>
        <v>236.25</v>
      </c>
      <c r="L13" s="52"/>
      <c r="AD13" s="91"/>
      <c r="AI13" s="91"/>
      <c r="AN13" s="52"/>
      <c r="AS13" s="52"/>
    </row>
    <row r="14" ht="33" spans="2:11">
      <c r="B14" s="41" t="s">
        <v>35</v>
      </c>
      <c r="C14" s="41">
        <v>1</v>
      </c>
      <c r="D14" s="90">
        <v>1</v>
      </c>
      <c r="E14" s="41">
        <v>1</v>
      </c>
      <c r="F14" s="41">
        <v>1</v>
      </c>
      <c r="G14" s="41">
        <v>1</v>
      </c>
      <c r="H14" s="41">
        <v>1</v>
      </c>
      <c r="I14" s="41">
        <v>1</v>
      </c>
      <c r="J14" s="41">
        <v>1</v>
      </c>
      <c r="K14" s="41">
        <v>1</v>
      </c>
    </row>
    <row r="15" spans="2:45">
      <c r="B15" s="41" t="s">
        <v>36</v>
      </c>
      <c r="C15" s="36">
        <f t="shared" ref="C15:D15" si="0">7.62</f>
        <v>7.62</v>
      </c>
      <c r="D15" s="92">
        <f t="shared" si="0"/>
        <v>7.62</v>
      </c>
      <c r="E15" s="36">
        <f>11.43</f>
        <v>11.43</v>
      </c>
      <c r="F15" s="36">
        <f t="shared" ref="F15" si="1">7.62</f>
        <v>7.62</v>
      </c>
      <c r="G15" s="36">
        <f>11.43</f>
        <v>11.43</v>
      </c>
      <c r="H15" s="36">
        <f t="shared" ref="H15:I15" si="2">7.62</f>
        <v>7.62</v>
      </c>
      <c r="I15" s="36">
        <f t="shared" si="2"/>
        <v>7.62</v>
      </c>
      <c r="J15" s="36">
        <f>5.56</f>
        <v>5.56</v>
      </c>
      <c r="K15" s="36">
        <f>9.07</f>
        <v>9.07</v>
      </c>
      <c r="L15" s="36"/>
      <c r="AD15" s="92"/>
      <c r="AI15" s="92"/>
      <c r="AN15" s="36"/>
      <c r="AS15" s="36"/>
    </row>
    <row r="16" s="36" customFormat="1" ht="33" spans="2:35">
      <c r="B16" s="36" t="s">
        <v>37</v>
      </c>
      <c r="C16" s="36">
        <f>300*39.37</f>
        <v>11811</v>
      </c>
      <c r="D16" s="92">
        <f t="shared" ref="D16" si="3">1000*39.37</f>
        <v>39370</v>
      </c>
      <c r="E16" s="36">
        <f>150*39.37</f>
        <v>5905.5</v>
      </c>
      <c r="F16" s="36">
        <f t="shared" ref="F16" si="4">1000*39.37</f>
        <v>39370</v>
      </c>
      <c r="G16" s="36">
        <f>150*39.37</f>
        <v>5905.5</v>
      </c>
      <c r="H16" s="36">
        <f t="shared" ref="H16:I16" si="5">1000*39.37</f>
        <v>39370</v>
      </c>
      <c r="I16" s="36">
        <f t="shared" si="5"/>
        <v>39370</v>
      </c>
      <c r="J16" s="36">
        <f>600*39.37</f>
        <v>23622</v>
      </c>
      <c r="K16" s="36">
        <f>150*39.37</f>
        <v>5905.5</v>
      </c>
      <c r="AD16" s="92"/>
      <c r="AI16" s="92"/>
    </row>
    <row r="17" spans="2:11">
      <c r="B17" s="41" t="s">
        <v>38</v>
      </c>
      <c r="C17" s="41">
        <v>300</v>
      </c>
      <c r="D17" s="90">
        <v>300</v>
      </c>
      <c r="E17" s="41">
        <v>300</v>
      </c>
      <c r="F17" s="41">
        <v>300</v>
      </c>
      <c r="G17" s="41">
        <v>300</v>
      </c>
      <c r="H17" s="41">
        <v>300</v>
      </c>
      <c r="I17" s="41">
        <v>300</v>
      </c>
      <c r="J17" s="41">
        <v>300</v>
      </c>
      <c r="K17" s="41">
        <v>300</v>
      </c>
    </row>
    <row r="18" spans="2:45">
      <c r="B18" s="41" t="s">
        <v>39</v>
      </c>
      <c r="C18" s="36">
        <f t="shared" ref="C18:L18" si="6">C13/10</f>
        <v>25.7175</v>
      </c>
      <c r="D18" s="92">
        <f t="shared" si="6"/>
        <v>39.0525</v>
      </c>
      <c r="E18" s="36">
        <f t="shared" si="6"/>
        <v>22.86</v>
      </c>
      <c r="F18" s="36">
        <f t="shared" si="6"/>
        <v>39.0525</v>
      </c>
      <c r="G18" s="36">
        <f t="shared" si="6"/>
        <v>22.86</v>
      </c>
      <c r="H18" s="36">
        <f t="shared" si="6"/>
        <v>39.0525</v>
      </c>
      <c r="I18" s="36">
        <f t="shared" si="6"/>
        <v>39.0525</v>
      </c>
      <c r="J18" s="36">
        <f t="shared" si="6"/>
        <v>29.19</v>
      </c>
      <c r="K18" s="36">
        <f t="shared" si="6"/>
        <v>23.625</v>
      </c>
      <c r="L18" s="36"/>
      <c r="AD18" s="92"/>
      <c r="AI18" s="92"/>
      <c r="AN18" s="36"/>
      <c r="AS18" s="36"/>
    </row>
    <row r="19" s="51" customFormat="1" ht="30" spans="1:35">
      <c r="A19" s="48" t="s">
        <v>40</v>
      </c>
      <c r="B19" s="51" t="s">
        <v>41</v>
      </c>
      <c r="C19" s="51">
        <f>15*12</f>
        <v>180</v>
      </c>
      <c r="D19" s="85">
        <f>8*14</f>
        <v>112</v>
      </c>
      <c r="E19" s="51">
        <f>30*8</f>
        <v>240</v>
      </c>
      <c r="F19" s="51">
        <f>5*18</f>
        <v>90</v>
      </c>
      <c r="G19" s="51">
        <f>7*10</f>
        <v>70</v>
      </c>
      <c r="H19" s="51">
        <f>20*12</f>
        <v>240</v>
      </c>
      <c r="I19" s="51">
        <f>50*3+50/2</f>
        <v>175</v>
      </c>
      <c r="J19" s="51">
        <f>30*8</f>
        <v>240</v>
      </c>
      <c r="K19" s="51">
        <f>6*10</f>
        <v>60</v>
      </c>
      <c r="AD19" s="85"/>
      <c r="AI19" s="85"/>
    </row>
    <row r="20" spans="2:11">
      <c r="B20" s="41" t="s">
        <v>42</v>
      </c>
      <c r="C20" s="41">
        <v>75</v>
      </c>
      <c r="D20" s="90">
        <v>80</v>
      </c>
      <c r="E20" s="41">
        <v>150</v>
      </c>
      <c r="F20" s="41">
        <v>75</v>
      </c>
      <c r="G20" s="41">
        <v>35</v>
      </c>
      <c r="H20" s="41">
        <v>140</v>
      </c>
      <c r="I20" s="41">
        <v>100</v>
      </c>
      <c r="J20" s="41">
        <v>150</v>
      </c>
      <c r="K20" s="41">
        <v>30</v>
      </c>
    </row>
    <row r="21" ht="33" spans="2:11">
      <c r="B21" s="41" t="s">
        <v>43</v>
      </c>
      <c r="C21" s="41">
        <v>15</v>
      </c>
      <c r="D21" s="90">
        <v>8</v>
      </c>
      <c r="E21" s="41">
        <v>30</v>
      </c>
      <c r="F21" s="41">
        <v>5</v>
      </c>
      <c r="G21" s="41">
        <v>7</v>
      </c>
      <c r="H21" s="41">
        <v>20</v>
      </c>
      <c r="I21" s="41">
        <v>50</v>
      </c>
      <c r="J21" s="41">
        <v>30</v>
      </c>
      <c r="K21" s="41">
        <v>6</v>
      </c>
    </row>
    <row r="22" ht="33" spans="2:11">
      <c r="B22" s="41" t="s">
        <v>44</v>
      </c>
      <c r="C22" s="41" t="s">
        <v>23</v>
      </c>
      <c r="D22" s="90" t="s">
        <v>23</v>
      </c>
      <c r="E22" s="41" t="s">
        <v>23</v>
      </c>
      <c r="F22" s="41" t="s">
        <v>23</v>
      </c>
      <c r="G22" s="41" t="s">
        <v>23</v>
      </c>
      <c r="H22" s="41" t="s">
        <v>23</v>
      </c>
      <c r="I22" s="41" t="s">
        <v>23</v>
      </c>
      <c r="J22" s="41" t="s">
        <v>23</v>
      </c>
      <c r="K22" s="41" t="s">
        <v>23</v>
      </c>
    </row>
    <row r="23" ht="33" spans="2:11">
      <c r="B23" s="41" t="s">
        <v>45</v>
      </c>
      <c r="C23" s="41" t="s">
        <v>23</v>
      </c>
      <c r="D23" s="90" t="s">
        <v>23</v>
      </c>
      <c r="E23" s="41" t="s">
        <v>23</v>
      </c>
      <c r="F23" s="41" t="s">
        <v>23</v>
      </c>
      <c r="G23" s="41" t="s">
        <v>23</v>
      </c>
      <c r="H23" s="41" t="s">
        <v>23</v>
      </c>
      <c r="I23" s="41" t="s">
        <v>23</v>
      </c>
      <c r="J23" s="41" t="s">
        <v>23</v>
      </c>
      <c r="K23" s="41" t="s">
        <v>23</v>
      </c>
    </row>
    <row r="24" s="51" customFormat="1" ht="33" spans="1:35">
      <c r="A24" s="48" t="s">
        <v>46</v>
      </c>
      <c r="B24" s="51" t="s">
        <v>47</v>
      </c>
      <c r="C24" s="51">
        <v>60</v>
      </c>
      <c r="D24" s="85">
        <v>60</v>
      </c>
      <c r="E24" s="51">
        <v>60</v>
      </c>
      <c r="F24" s="51">
        <v>60</v>
      </c>
      <c r="G24" s="51">
        <v>60</v>
      </c>
      <c r="H24" s="51">
        <v>60</v>
      </c>
      <c r="I24" s="51">
        <v>60</v>
      </c>
      <c r="J24" s="51">
        <v>50</v>
      </c>
      <c r="K24" s="51">
        <v>60</v>
      </c>
      <c r="AD24" s="85"/>
      <c r="AI24" s="85"/>
    </row>
    <row r="25" ht="33" spans="2:45">
      <c r="B25" s="41" t="s">
        <v>48</v>
      </c>
      <c r="C25" s="37">
        <f>(1/'枪械实际规格（美系）'!B2)^0.0625</f>
        <v>0.942028768263525</v>
      </c>
      <c r="D25" s="94">
        <f>(1/'枪械实际规格（美系）'!C2)^0.0625</f>
        <v>0.90101652907673</v>
      </c>
      <c r="E25" s="37">
        <f>(1/'枪械实际规格（美系）'!D2)^0.0625</f>
        <v>0.906614003094336</v>
      </c>
      <c r="F25" s="37">
        <f>(1/'枪械实际规格（美系）'!E2)^0.0625</f>
        <v>0.917870656628987</v>
      </c>
      <c r="G25" s="37">
        <f>(1/'枪械实际规格（美系）'!F2)^0.0625</f>
        <v>0.988669580916978</v>
      </c>
      <c r="H25" s="37">
        <f>(1/'枪械实际规格（美系）'!G2)^0.0625</f>
        <v>0.872910732064276</v>
      </c>
      <c r="I25" s="37">
        <f>(1/'枪械实际规格（美系）'!H2)^0.0625</f>
        <v>0.84429515351053</v>
      </c>
      <c r="J25" s="37">
        <f>(1/'枪械实际规格（美系）'!I2)^0.0625</f>
        <v>0.924524246081681</v>
      </c>
      <c r="K25" s="37">
        <f>(1/'枪械实际规格（美系）'!J2)^0.0625</f>
        <v>0.994060820831941</v>
      </c>
      <c r="L25" s="37"/>
      <c r="AD25" s="94"/>
      <c r="AI25" s="94"/>
      <c r="AN25" s="37"/>
      <c r="AS25" s="37"/>
    </row>
    <row r="26" ht="33" spans="2:45">
      <c r="B26" s="41" t="s">
        <v>49</v>
      </c>
      <c r="C26" s="37">
        <f t="shared" ref="C26:H26" si="7">0.1+C25*0.75</f>
        <v>0.806521576197644</v>
      </c>
      <c r="D26" s="94">
        <f t="shared" si="7"/>
        <v>0.775762396807547</v>
      </c>
      <c r="E26" s="37">
        <f t="shared" si="7"/>
        <v>0.779960502320752</v>
      </c>
      <c r="F26" s="37">
        <f t="shared" si="7"/>
        <v>0.78840299247174</v>
      </c>
      <c r="G26" s="37">
        <f t="shared" si="7"/>
        <v>0.841502185687733</v>
      </c>
      <c r="H26" s="37">
        <f t="shared" si="7"/>
        <v>0.754683049048207</v>
      </c>
      <c r="I26" s="37">
        <f t="shared" ref="I26:L26" si="8">0.1+I25*0.75</f>
        <v>0.733221365132897</v>
      </c>
      <c r="J26" s="37">
        <f t="shared" si="8"/>
        <v>0.793393184561261</v>
      </c>
      <c r="K26" s="37">
        <f t="shared" si="8"/>
        <v>0.845545615623956</v>
      </c>
      <c r="L26" s="37"/>
      <c r="AD26" s="94"/>
      <c r="AI26" s="94"/>
      <c r="AN26" s="37"/>
      <c r="AS26" s="37"/>
    </row>
    <row r="27" ht="33" spans="2:45">
      <c r="B27" s="41" t="s">
        <v>50</v>
      </c>
      <c r="C27" s="37">
        <f>2-('枪械实际规格（美系）'!B2/10)+(1/'枪械实际规格（美系）'!B2)^10</f>
        <v>1.74007083803739</v>
      </c>
      <c r="D27" s="37">
        <f>2-('枪械实际规格（美系）'!C2/10)+(1/'枪械实际规格（美系）'!C2)^10</f>
        <v>1.47000005717963</v>
      </c>
      <c r="E27" s="37">
        <f>2-('枪械实际规格（美系）'!D2/10)+(1/'枪械实际规格（美系）'!D2)^10</f>
        <v>1.52000015402373</v>
      </c>
      <c r="F27" s="37">
        <f>2-('枪械实际规格（美系）'!E2/10)+(1/'枪械实际规格（美系）'!E2)^10</f>
        <v>1.60600110927131</v>
      </c>
      <c r="G27" s="37">
        <f>2-('枪械实际规格（美系）'!F2/10)+(1/'枪械实际规格（美系）'!F2)^10</f>
        <v>2.04150558288985</v>
      </c>
      <c r="H27" s="37">
        <f>2-('枪械实际规格（美系）'!G2/10)+(1/'枪械实际规格（美系）'!G2)^10</f>
        <v>1.12000000035907</v>
      </c>
      <c r="I27" s="37">
        <f>2-('枪械实际规格（美系）'!H2/10)+(1/'枪械实际规格（美系）'!H2)^10</f>
        <v>0.500000000001734</v>
      </c>
      <c r="J27" s="37">
        <f>2-('枪械实际规格（美系）'!I2/10)+(1/'枪械实际规格（美系）'!I2)^10</f>
        <v>1.64900352313135</v>
      </c>
      <c r="K27" s="37">
        <f>2-('枪械实际规格（美系）'!J2/10)+(1/'枪械实际规格（美系）'!J2)^10</f>
        <v>2.27554328942953</v>
      </c>
      <c r="L27" s="37"/>
      <c r="AD27" s="37"/>
      <c r="AI27" s="37"/>
      <c r="AN27" s="37"/>
      <c r="AS27" s="37"/>
    </row>
    <row r="28" spans="2:45">
      <c r="B28" s="41" t="s">
        <v>51</v>
      </c>
      <c r="C28" s="37">
        <f>0.1+((('枪械实际规格（美系）'!B2*100/'枪械实际规格（美系）'!B3)/4)+'枪械实际规格（美系）'!B3/15000*3)/2*1.1</f>
        <v>0.238722222222222</v>
      </c>
      <c r="D28" s="37">
        <f>0.1+((('枪械实际规格（美系）'!C2*100/'枪械实际规格（美系）'!C3)/4)+'枪械实际规格（美系）'!C3/15000*3)/2*1.1</f>
        <v>0.28725</v>
      </c>
      <c r="E28" s="37">
        <f>0.1+((('枪械实际规格（美系）'!D2*100/'枪械实际规格（美系）'!D3)/4)+'枪械实际规格（美系）'!D3/15000*3)/2*1.1</f>
        <v>0.270581481481482</v>
      </c>
      <c r="F28" s="37">
        <f>0.1+((('枪械实际规格（美系）'!E2*100/'枪械实际规格（美系）'!E3)/4)+'枪械实际规格（美系）'!E3/15000*3)/2*1.1</f>
        <v>0.270054685505925</v>
      </c>
      <c r="G28" s="37">
        <f>0.1+((('枪械实际规格（美系）'!F2*100/'枪械实际规格（美系）'!F3)/4)+'枪械实际规格（美系）'!F3/15000*3)/2*1.1</f>
        <v>0.201671428571429</v>
      </c>
      <c r="H28" s="37">
        <f>0.1+((('枪械实际规格（美系）'!G2*100/'枪械实际规格（美系）'!G3)/4)+'枪械实际规格（美系）'!G3/15000*3)/2*1.1</f>
        <v>0.333238477366255</v>
      </c>
      <c r="I28" s="37">
        <f>0.1+((('枪械实际规格（美系）'!H2*100/'枪械实际规格（美系）'!H3)/4)+'枪械实际规格（美系）'!H3/15000*3)/2*1.1</f>
        <v>0.419992282157676</v>
      </c>
      <c r="J28" s="37">
        <f>0.1+((('枪械实际规格（美系）'!I2*100/'枪械实际规格（美系）'!I3)/4)+'枪械实际规格（美系）'!I3/15000*3)/2*1.1</f>
        <v>0.249855357142857</v>
      </c>
      <c r="K28" s="37">
        <f>0.1+((('枪械实际规格（美系）'!J2*100/'枪械实际规格（美系）'!J3)/4)+'枪械实际规格（美系）'!J3/15000*3)/2*1.1</f>
        <v>0.194217570093458</v>
      </c>
      <c r="L28" s="86"/>
      <c r="AD28" s="37"/>
      <c r="AI28" s="37"/>
      <c r="AN28" s="37"/>
      <c r="AS28" s="37"/>
    </row>
    <row r="29" spans="2:45">
      <c r="B29" s="41" t="s">
        <v>52</v>
      </c>
      <c r="C29" s="37">
        <f t="shared" ref="C29:G29" si="9">C28*0.75</f>
        <v>0.179041666666667</v>
      </c>
      <c r="D29" s="94">
        <f t="shared" si="9"/>
        <v>0.2154375</v>
      </c>
      <c r="E29" s="37">
        <f t="shared" si="9"/>
        <v>0.202936111111111</v>
      </c>
      <c r="F29" s="37">
        <f t="shared" si="9"/>
        <v>0.202541014129444</v>
      </c>
      <c r="G29" s="37">
        <f t="shared" si="9"/>
        <v>0.151253571428571</v>
      </c>
      <c r="H29" s="37">
        <f t="shared" ref="H29:L29" si="10">H28*0.75</f>
        <v>0.249928858024691</v>
      </c>
      <c r="I29" s="37">
        <f t="shared" si="10"/>
        <v>0.314994211618257</v>
      </c>
      <c r="J29" s="37">
        <f t="shared" si="10"/>
        <v>0.187391517857143</v>
      </c>
      <c r="K29" s="37">
        <f t="shared" si="10"/>
        <v>0.145663177570094</v>
      </c>
      <c r="L29" s="37"/>
      <c r="AD29" s="94"/>
      <c r="AI29" s="94"/>
      <c r="AN29" s="37"/>
      <c r="AS29" s="37"/>
    </row>
    <row r="30" spans="2:45">
      <c r="B30" s="41" t="s">
        <v>53</v>
      </c>
      <c r="C30" s="36">
        <f t="shared" ref="C30:G30" si="11">C28*800</f>
        <v>190.977777777778</v>
      </c>
      <c r="D30" s="36">
        <f t="shared" si="11"/>
        <v>229.8</v>
      </c>
      <c r="E30" s="36">
        <f t="shared" si="11"/>
        <v>216.465185185186</v>
      </c>
      <c r="F30" s="36">
        <f t="shared" si="11"/>
        <v>216.04374840474</v>
      </c>
      <c r="G30" s="36">
        <f t="shared" si="11"/>
        <v>161.337142857143</v>
      </c>
      <c r="H30" s="36">
        <f>H28*800</f>
        <v>266.590781893004</v>
      </c>
      <c r="I30" s="36">
        <f t="shared" ref="I30:K30" si="12">I28*800</f>
        <v>335.993825726141</v>
      </c>
      <c r="J30" s="36">
        <f t="shared" si="12"/>
        <v>199.884285714286</v>
      </c>
      <c r="K30" s="36">
        <f t="shared" si="12"/>
        <v>155.374056074766</v>
      </c>
      <c r="L30" s="87"/>
      <c r="AD30" s="92"/>
      <c r="AI30" s="92"/>
      <c r="AN30" s="36"/>
      <c r="AS30" s="36"/>
    </row>
    <row r="31" spans="2:45">
      <c r="B31" s="41" t="s">
        <v>54</v>
      </c>
      <c r="C31" s="38">
        <f>'枪械实际规格（美系）'!B2^0.25</f>
        <v>1.26982343247387</v>
      </c>
      <c r="D31" s="38">
        <f>'枪械实际规格（美系）'!C2^0.25</f>
        <v>1.51729129920535</v>
      </c>
      <c r="E31" s="38">
        <f>'枪械实际规格（美系）'!D2^0.25</f>
        <v>1.48016560898457</v>
      </c>
      <c r="F31" s="38">
        <f>'枪械实际规格（美系）'!E2^0.25</f>
        <v>1.40888016670259</v>
      </c>
      <c r="G31" s="38">
        <f>'枪械实际规格（美系）'!F2^0.25</f>
        <v>1.04663513939211</v>
      </c>
      <c r="H31" s="38">
        <f>'枪械实际规格（美系）'!G2^0.25</f>
        <v>1.72234705992673</v>
      </c>
      <c r="I31" s="38">
        <f>'枪械实际规格（美系）'!H2^0.25</f>
        <v>1.96798967126543</v>
      </c>
      <c r="J31" s="38">
        <f>'枪械实际规格（美系）'!I2^0.25</f>
        <v>1.36875834226481</v>
      </c>
      <c r="K31" s="38">
        <f>'枪械实际规格（美系）'!J2^0.25</f>
        <v>1.02411368908445</v>
      </c>
      <c r="L31" s="38"/>
      <c r="AD31" s="92"/>
      <c r="AI31" s="92"/>
      <c r="AN31" s="36"/>
      <c r="AS31" s="36"/>
    </row>
    <row r="32" ht="33" spans="2:45">
      <c r="B32" s="41" t="s">
        <v>55</v>
      </c>
      <c r="C32" s="36">
        <f t="shared" ref="C32:L32" si="13">C30*0.9</f>
        <v>171.88</v>
      </c>
      <c r="D32" s="36">
        <f t="shared" si="13"/>
        <v>206.82</v>
      </c>
      <c r="E32" s="36">
        <f t="shared" si="13"/>
        <v>194.818666666667</v>
      </c>
      <c r="F32" s="36">
        <f t="shared" si="13"/>
        <v>194.439373564266</v>
      </c>
      <c r="G32" s="36">
        <f t="shared" si="13"/>
        <v>145.203428571429</v>
      </c>
      <c r="H32" s="36">
        <f t="shared" si="13"/>
        <v>239.931703703704</v>
      </c>
      <c r="I32" s="36">
        <f t="shared" si="13"/>
        <v>302.394443153527</v>
      </c>
      <c r="J32" s="36">
        <f t="shared" si="13"/>
        <v>179.895857142857</v>
      </c>
      <c r="K32" s="36">
        <f t="shared" si="13"/>
        <v>139.83665046729</v>
      </c>
      <c r="L32" s="36"/>
      <c r="AD32" s="92"/>
      <c r="AI32" s="92"/>
      <c r="AN32" s="36"/>
      <c r="AS32" s="36"/>
    </row>
    <row r="33" ht="33" spans="2:45">
      <c r="B33" s="41" t="s">
        <v>56</v>
      </c>
      <c r="C33" s="38">
        <f t="shared" ref="C33:L33" si="14">C31*1</f>
        <v>1.26982343247387</v>
      </c>
      <c r="D33" s="38">
        <f t="shared" si="14"/>
        <v>1.51729129920535</v>
      </c>
      <c r="E33" s="38">
        <f t="shared" si="14"/>
        <v>1.48016560898457</v>
      </c>
      <c r="F33" s="38">
        <f t="shared" si="14"/>
        <v>1.40888016670259</v>
      </c>
      <c r="G33" s="38">
        <f t="shared" si="14"/>
        <v>1.04663513939211</v>
      </c>
      <c r="H33" s="38">
        <f t="shared" si="14"/>
        <v>1.72234705992673</v>
      </c>
      <c r="I33" s="38">
        <f t="shared" si="14"/>
        <v>1.96798967126543</v>
      </c>
      <c r="J33" s="38">
        <f t="shared" si="14"/>
        <v>1.36875834226481</v>
      </c>
      <c r="K33" s="38">
        <f t="shared" si="14"/>
        <v>1.02411368908445</v>
      </c>
      <c r="L33" s="38"/>
      <c r="AD33" s="97"/>
      <c r="AI33" s="97"/>
      <c r="AN33" s="38"/>
      <c r="AS33" s="38"/>
    </row>
    <row r="34" spans="2:11">
      <c r="B34" s="41" t="s">
        <v>57</v>
      </c>
      <c r="C34" s="41">
        <v>0.5</v>
      </c>
      <c r="D34" s="41">
        <v>0.5</v>
      </c>
      <c r="E34" s="41">
        <v>0.5</v>
      </c>
      <c r="F34" s="41">
        <v>0.5</v>
      </c>
      <c r="G34" s="41">
        <v>0.5</v>
      </c>
      <c r="H34" s="41">
        <v>0.5</v>
      </c>
      <c r="I34" s="41">
        <v>0.5</v>
      </c>
      <c r="J34" s="41">
        <v>0.5</v>
      </c>
      <c r="K34" s="41">
        <v>0.5</v>
      </c>
    </row>
    <row r="35" spans="2:11">
      <c r="B35" s="41" t="s">
        <v>58</v>
      </c>
      <c r="C35" s="41">
        <v>0.1</v>
      </c>
      <c r="D35" s="41">
        <v>0.1</v>
      </c>
      <c r="E35" s="41">
        <v>0.1</v>
      </c>
      <c r="F35" s="41">
        <v>0.1</v>
      </c>
      <c r="G35" s="41">
        <v>0.1</v>
      </c>
      <c r="H35" s="41">
        <v>0.1</v>
      </c>
      <c r="I35" s="41">
        <v>0.1</v>
      </c>
      <c r="J35" s="41">
        <v>0.1</v>
      </c>
      <c r="K35" s="41">
        <v>0.1</v>
      </c>
    </row>
    <row r="36" spans="2:11">
      <c r="B36" s="41" t="s">
        <v>59</v>
      </c>
      <c r="C36" s="41">
        <v>0</v>
      </c>
      <c r="D36" s="90">
        <v>0</v>
      </c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</row>
    <row r="37" ht="33" spans="2:11">
      <c r="B37" s="41" t="s">
        <v>60</v>
      </c>
      <c r="C37" s="41">
        <v>0.9</v>
      </c>
      <c r="D37" s="90">
        <v>0.9</v>
      </c>
      <c r="E37" s="41">
        <v>0.9</v>
      </c>
      <c r="F37" s="41">
        <v>0.9</v>
      </c>
      <c r="G37" s="41">
        <v>1</v>
      </c>
      <c r="H37" s="41">
        <v>0.85</v>
      </c>
      <c r="I37" s="41">
        <v>0.85</v>
      </c>
      <c r="J37" s="41">
        <v>0.9</v>
      </c>
      <c r="K37" s="41">
        <v>1</v>
      </c>
    </row>
    <row r="38" s="51" customFormat="1" ht="33" spans="1:35">
      <c r="A38" s="48" t="s">
        <v>61</v>
      </c>
      <c r="B38" s="51" t="s">
        <v>62</v>
      </c>
      <c r="C38" s="54">
        <f>2.42*1.134/10</f>
        <v>0.274428</v>
      </c>
      <c r="D38" s="54">
        <f>2.02*1.134/10</f>
        <v>0.229068</v>
      </c>
      <c r="E38" s="54">
        <f>17*1.134/10</f>
        <v>1.9278</v>
      </c>
      <c r="F38" s="54">
        <f>2.2*1.134/10</f>
        <v>0.24948</v>
      </c>
      <c r="G38" s="54">
        <f>19*1.134/10</f>
        <v>2.1546</v>
      </c>
      <c r="H38" s="54">
        <f>4*1.134/10</f>
        <v>0.4536</v>
      </c>
      <c r="I38" s="54">
        <f>5*1.134/10</f>
        <v>0.567</v>
      </c>
      <c r="J38" s="54">
        <f>4*1.134/10*0.75</f>
        <v>0.3402</v>
      </c>
      <c r="K38" s="54">
        <f>20*1.134/10</f>
        <v>2.268</v>
      </c>
      <c r="L38" s="54"/>
      <c r="AD38" s="85"/>
      <c r="AI38" s="85"/>
    </row>
    <row r="39" s="51" customFormat="1" ht="33" spans="2:45">
      <c r="B39" s="51" t="s">
        <v>63</v>
      </c>
      <c r="C39" s="55">
        <f t="shared" ref="C39:L39" si="15">(C32/10*2.5-1/C38/10)/4</f>
        <v>10.6514014240529</v>
      </c>
      <c r="D39" s="55">
        <f t="shared" si="15"/>
        <v>12.8171121020832</v>
      </c>
      <c r="E39" s="55">
        <f t="shared" si="15"/>
        <v>12.1631985164436</v>
      </c>
      <c r="F39" s="55">
        <f t="shared" si="15"/>
        <v>12.0522524142249</v>
      </c>
      <c r="G39" s="55">
        <f t="shared" si="15"/>
        <v>9.06361120393578</v>
      </c>
      <c r="H39" s="55">
        <f t="shared" si="15"/>
        <v>14.9406168430335</v>
      </c>
      <c r="I39" s="55">
        <f t="shared" si="15"/>
        <v>18.855560986337</v>
      </c>
      <c r="J39" s="55">
        <f t="shared" si="15"/>
        <v>11.1700048868313</v>
      </c>
      <c r="K39" s="55">
        <f t="shared" si="15"/>
        <v>8.72876772651601</v>
      </c>
      <c r="L39" s="55"/>
      <c r="AD39" s="95"/>
      <c r="AI39" s="95"/>
      <c r="AN39" s="55"/>
      <c r="AS39" s="55"/>
    </row>
    <row r="40" ht="33" spans="2:45">
      <c r="B40" s="41" t="s">
        <v>64</v>
      </c>
      <c r="C40" s="37">
        <f t="shared" ref="C40:L40" si="16">C39*0.95</f>
        <v>10.1188313528503</v>
      </c>
      <c r="D40" s="37">
        <f t="shared" si="16"/>
        <v>12.1762564969791</v>
      </c>
      <c r="E40" s="37">
        <f t="shared" si="16"/>
        <v>11.5550385906215</v>
      </c>
      <c r="F40" s="37">
        <f t="shared" si="16"/>
        <v>11.4496397935136</v>
      </c>
      <c r="G40" s="37">
        <f t="shared" si="16"/>
        <v>8.61043064373899</v>
      </c>
      <c r="H40" s="37">
        <f t="shared" si="16"/>
        <v>14.1935860008818</v>
      </c>
      <c r="I40" s="37">
        <f t="shared" si="16"/>
        <v>17.9127829370202</v>
      </c>
      <c r="J40" s="37">
        <f t="shared" si="16"/>
        <v>10.6115046424897</v>
      </c>
      <c r="K40" s="37">
        <f t="shared" si="16"/>
        <v>8.29232934019021</v>
      </c>
      <c r="L40" s="37"/>
      <c r="AD40" s="94"/>
      <c r="AI40" s="94"/>
      <c r="AN40" s="37"/>
      <c r="AS40" s="37"/>
    </row>
    <row r="41" ht="33" spans="2:45">
      <c r="B41" s="41" t="s">
        <v>65</v>
      </c>
      <c r="C41" s="37">
        <f t="shared" ref="C41:L41" si="17">C39*0.9</f>
        <v>9.58626128164764</v>
      </c>
      <c r="D41" s="37">
        <f t="shared" si="17"/>
        <v>11.5354008918749</v>
      </c>
      <c r="E41" s="37">
        <f t="shared" si="17"/>
        <v>10.9468786647993</v>
      </c>
      <c r="F41" s="37">
        <f t="shared" si="17"/>
        <v>10.8470271728024</v>
      </c>
      <c r="G41" s="37">
        <f t="shared" si="17"/>
        <v>8.15725008354221</v>
      </c>
      <c r="H41" s="37">
        <f t="shared" si="17"/>
        <v>13.4465551587302</v>
      </c>
      <c r="I41" s="37">
        <f t="shared" si="17"/>
        <v>16.9700048877033</v>
      </c>
      <c r="J41" s="37">
        <f t="shared" si="17"/>
        <v>10.0530043981481</v>
      </c>
      <c r="K41" s="37">
        <f t="shared" si="17"/>
        <v>7.85589095386441</v>
      </c>
      <c r="L41" s="37"/>
      <c r="AD41" s="94"/>
      <c r="AI41" s="94"/>
      <c r="AN41" s="37"/>
      <c r="AS41" s="37"/>
    </row>
    <row r="42" s="51" customFormat="1" ht="33" spans="2:45">
      <c r="B42" s="51" t="s">
        <v>66</v>
      </c>
      <c r="C42" s="55">
        <f t="shared" ref="C42:L42" si="18">(C30/10*5-1/C38/10)/4</f>
        <v>23.7811236462751</v>
      </c>
      <c r="D42" s="55">
        <f t="shared" si="18"/>
        <v>28.6158621020832</v>
      </c>
      <c r="E42" s="55">
        <f t="shared" si="18"/>
        <v>27.0451799979251</v>
      </c>
      <c r="F42" s="55">
        <f t="shared" si="18"/>
        <v>26.9052601170507</v>
      </c>
      <c r="G42" s="55">
        <f t="shared" si="18"/>
        <v>20.1555397753644</v>
      </c>
      <c r="H42" s="55">
        <f t="shared" si="18"/>
        <v>33.2687330981775</v>
      </c>
      <c r="I42" s="55">
        <f t="shared" si="18"/>
        <v>41.9551365050092</v>
      </c>
      <c r="J42" s="55">
        <f t="shared" si="18"/>
        <v>24.9120495296884</v>
      </c>
      <c r="K42" s="55">
        <f t="shared" si="18"/>
        <v>19.4107340816562</v>
      </c>
      <c r="L42" s="55"/>
      <c r="AD42" s="95"/>
      <c r="AI42" s="95"/>
      <c r="AN42" s="55"/>
      <c r="AS42" s="55"/>
    </row>
    <row r="43" ht="33" spans="2:45">
      <c r="B43" s="41" t="s">
        <v>67</v>
      </c>
      <c r="C43" s="37">
        <f t="shared" ref="C43:L43" si="19">C42*0.95</f>
        <v>22.5920674639614</v>
      </c>
      <c r="D43" s="37">
        <f t="shared" si="19"/>
        <v>27.1850689969791</v>
      </c>
      <c r="E43" s="37">
        <f t="shared" si="19"/>
        <v>25.6929209980289</v>
      </c>
      <c r="F43" s="37">
        <f t="shared" si="19"/>
        <v>25.5599971111982</v>
      </c>
      <c r="G43" s="37">
        <f t="shared" si="19"/>
        <v>19.1477627865962</v>
      </c>
      <c r="H43" s="37">
        <f t="shared" si="19"/>
        <v>31.6052964432686</v>
      </c>
      <c r="I43" s="37">
        <f t="shared" si="19"/>
        <v>39.8573796797588</v>
      </c>
      <c r="J43" s="37">
        <f t="shared" si="19"/>
        <v>23.666447053204</v>
      </c>
      <c r="K43" s="37">
        <f t="shared" si="19"/>
        <v>18.4401973775734</v>
      </c>
      <c r="L43" s="37"/>
      <c r="AD43" s="94"/>
      <c r="AI43" s="94"/>
      <c r="AN43" s="37"/>
      <c r="AS43" s="37"/>
    </row>
    <row r="44" ht="33" spans="2:45">
      <c r="B44" s="41" t="s">
        <v>68</v>
      </c>
      <c r="C44" s="37">
        <f t="shared" ref="C44:L44" si="20">C42*0.9</f>
        <v>21.4030112816476</v>
      </c>
      <c r="D44" s="37">
        <f t="shared" si="20"/>
        <v>25.7542758918749</v>
      </c>
      <c r="E44" s="37">
        <f t="shared" si="20"/>
        <v>24.3406619981326</v>
      </c>
      <c r="F44" s="37">
        <f t="shared" si="20"/>
        <v>24.2147341053457</v>
      </c>
      <c r="G44" s="37">
        <f t="shared" si="20"/>
        <v>18.1399857978279</v>
      </c>
      <c r="H44" s="37">
        <f t="shared" si="20"/>
        <v>29.9418597883598</v>
      </c>
      <c r="I44" s="37">
        <f t="shared" si="20"/>
        <v>37.7596228545083</v>
      </c>
      <c r="J44" s="37">
        <f t="shared" si="20"/>
        <v>22.4208445767196</v>
      </c>
      <c r="K44" s="37">
        <f t="shared" si="20"/>
        <v>17.4696606734906</v>
      </c>
      <c r="L44" s="37"/>
      <c r="AD44" s="94"/>
      <c r="AI44" s="94"/>
      <c r="AN44" s="37"/>
      <c r="AS44" s="37"/>
    </row>
    <row r="45" s="51" customFormat="1" ht="33" spans="2:45">
      <c r="B45" s="51" t="s">
        <v>69</v>
      </c>
      <c r="C45" s="55">
        <f>一些设定!J8*1/'枪械实际规格（美系）'!B2</f>
        <v>1.54178581996069</v>
      </c>
      <c r="D45" s="95">
        <f>一些设定!D8*1/'枪械实际规格（美系）'!C2</f>
        <v>0.933914036218945</v>
      </c>
      <c r="E45" s="55">
        <f>一些设定!L8*1/'枪械实际规格（美系）'!D2</f>
        <v>0.768284799112088</v>
      </c>
      <c r="F45" s="55">
        <f>一些设定!D8*1/'枪械实际规格（美系）'!E2</f>
        <v>1.25628030252802</v>
      </c>
      <c r="G45" s="55">
        <f>一些设定!L8*1/'枪械实际规格（美系）'!F2</f>
        <v>3.07313919644835</v>
      </c>
      <c r="H45" s="55">
        <f>一些设定!D8*1/'枪械实际规格（美系）'!G2</f>
        <v>0.562470953631865</v>
      </c>
      <c r="I45" s="55">
        <f>一些设定!D8*1/'枪械实际规格（美系）'!H2</f>
        <v>0.329982959464027</v>
      </c>
      <c r="J45" s="55">
        <f>一些设定!G8*1/'枪械实际规格（美系）'!I2</f>
        <v>1.19675481894978</v>
      </c>
      <c r="K45" s="55">
        <f>一些设定!K8*1/'枪械实际规格（美系）'!J2</f>
        <v>3.48664301763052</v>
      </c>
      <c r="L45" s="55"/>
      <c r="AD45" s="95"/>
      <c r="AI45" s="95"/>
      <c r="AN45" s="55"/>
      <c r="AS45" s="55"/>
    </row>
    <row r="46" ht="33" spans="2:45">
      <c r="B46" s="41" t="s">
        <v>70</v>
      </c>
      <c r="C46" s="37">
        <f t="shared" ref="C46:L46" si="21">C32/2/100/3</f>
        <v>0.286466666666666</v>
      </c>
      <c r="D46" s="37">
        <f t="shared" si="21"/>
        <v>0.3447</v>
      </c>
      <c r="E46" s="37">
        <f t="shared" si="21"/>
        <v>0.324697777777778</v>
      </c>
      <c r="F46" s="37">
        <f t="shared" si="21"/>
        <v>0.32406562260711</v>
      </c>
      <c r="G46" s="37">
        <f t="shared" si="21"/>
        <v>0.242005714285715</v>
      </c>
      <c r="H46" s="37">
        <f t="shared" si="21"/>
        <v>0.399886172839506</v>
      </c>
      <c r="I46" s="37">
        <f t="shared" si="21"/>
        <v>0.503990738589211</v>
      </c>
      <c r="J46" s="37">
        <f t="shared" si="21"/>
        <v>0.299826428571428</v>
      </c>
      <c r="K46" s="37">
        <f t="shared" si="21"/>
        <v>0.23306108411215</v>
      </c>
      <c r="L46" s="37"/>
      <c r="AD46" s="94"/>
      <c r="AI46" s="94"/>
      <c r="AN46" s="37"/>
      <c r="AS46" s="37"/>
    </row>
    <row r="47" ht="49.5" spans="2:45">
      <c r="B47" s="41" t="s">
        <v>71</v>
      </c>
      <c r="C47" s="37">
        <f t="shared" ref="C47:L47" si="22">C30/10/3</f>
        <v>6.36592592592592</v>
      </c>
      <c r="D47" s="37">
        <f t="shared" si="22"/>
        <v>7.66</v>
      </c>
      <c r="E47" s="37">
        <f t="shared" si="22"/>
        <v>7.21550617283952</v>
      </c>
      <c r="F47" s="37">
        <f t="shared" si="22"/>
        <v>7.201458280158</v>
      </c>
      <c r="G47" s="37">
        <f t="shared" si="22"/>
        <v>5.37790476190477</v>
      </c>
      <c r="H47" s="37">
        <f t="shared" si="22"/>
        <v>8.88635939643347</v>
      </c>
      <c r="I47" s="37">
        <f t="shared" si="22"/>
        <v>11.1997941908714</v>
      </c>
      <c r="J47" s="37">
        <f t="shared" si="22"/>
        <v>6.66280952380952</v>
      </c>
      <c r="K47" s="37">
        <f t="shared" si="22"/>
        <v>5.17913520249221</v>
      </c>
      <c r="L47" s="37"/>
      <c r="AD47" s="94"/>
      <c r="AI47" s="94"/>
      <c r="AN47" s="37"/>
      <c r="AS47" s="37"/>
    </row>
    <row r="48" ht="33" spans="2:45">
      <c r="B48" s="41" t="s">
        <v>72</v>
      </c>
      <c r="C48" s="37">
        <f t="shared" ref="C48:L48" si="23">3.5+1/(C32/3)*20</f>
        <v>3.84908075401443</v>
      </c>
      <c r="D48" s="37">
        <f t="shared" si="23"/>
        <v>3.79010733971569</v>
      </c>
      <c r="E48" s="37">
        <f t="shared" si="23"/>
        <v>3.80797870156179</v>
      </c>
      <c r="F48" s="37">
        <f t="shared" si="23"/>
        <v>3.80857947595768</v>
      </c>
      <c r="G48" s="37">
        <f t="shared" si="23"/>
        <v>3.91321338339118</v>
      </c>
      <c r="H48" s="37">
        <f t="shared" si="23"/>
        <v>3.75007116222579</v>
      </c>
      <c r="I48" s="37">
        <f t="shared" si="23"/>
        <v>3.69841634447475</v>
      </c>
      <c r="J48" s="37">
        <f t="shared" si="23"/>
        <v>3.83352630212242</v>
      </c>
      <c r="K48" s="37">
        <f t="shared" si="23"/>
        <v>3.92907206229196</v>
      </c>
      <c r="L48" s="37"/>
      <c r="AD48" s="94"/>
      <c r="AI48" s="94"/>
      <c r="AN48" s="37"/>
      <c r="AS48" s="37"/>
    </row>
    <row r="49" ht="33" spans="2:45">
      <c r="B49" s="41" t="s">
        <v>73</v>
      </c>
      <c r="C49" s="37">
        <v>1.05</v>
      </c>
      <c r="D49" s="94">
        <v>1.05</v>
      </c>
      <c r="E49" s="37">
        <v>1.05</v>
      </c>
      <c r="F49" s="37">
        <v>1.05</v>
      </c>
      <c r="G49" s="37">
        <v>1.05</v>
      </c>
      <c r="H49" s="37">
        <v>1.05</v>
      </c>
      <c r="I49" s="37">
        <v>1.05</v>
      </c>
      <c r="J49" s="37">
        <v>1.05</v>
      </c>
      <c r="K49" s="37">
        <v>1.05</v>
      </c>
      <c r="L49" s="37"/>
      <c r="AD49" s="94"/>
      <c r="AI49" s="94"/>
      <c r="AN49" s="37"/>
      <c r="AS49" s="37"/>
    </row>
    <row r="50" ht="33" spans="2:45">
      <c r="B50" s="41" t="s">
        <v>74</v>
      </c>
      <c r="C50" s="37">
        <v>1.1</v>
      </c>
      <c r="D50" s="94">
        <v>1.1</v>
      </c>
      <c r="E50" s="37">
        <v>1.1</v>
      </c>
      <c r="F50" s="37">
        <v>1.1</v>
      </c>
      <c r="G50" s="37">
        <v>1.1</v>
      </c>
      <c r="H50" s="37">
        <v>1.1</v>
      </c>
      <c r="I50" s="37">
        <v>1.1</v>
      </c>
      <c r="J50" s="37">
        <v>1.1</v>
      </c>
      <c r="K50" s="37">
        <v>1.1</v>
      </c>
      <c r="L50" s="37"/>
      <c r="AD50" s="94"/>
      <c r="AI50" s="94"/>
      <c r="AN50" s="37"/>
      <c r="AS50" s="37"/>
    </row>
    <row r="51" s="51" customFormat="1" ht="49.5" spans="1:45">
      <c r="A51" s="48" t="s">
        <v>75</v>
      </c>
      <c r="B51" s="51" t="s">
        <v>76</v>
      </c>
      <c r="C51" s="52">
        <f>(-(一些设定!J8^0.25*40)+('枪械实际规格（美系）'!B2^0.25*20)+('枪械实际规格（美系）'!B3^0.125*5))*1.5-C30/1.5</f>
        <v>-156.569824425813</v>
      </c>
      <c r="D51" s="52">
        <f>(-(一些设定!D8^0.25*40)+('枪械实际规格（美系）'!C2^0.25*20)+('枪械实际规格（美系）'!C3^0.125*5))*1.5-D30/1.5</f>
        <v>-179.177424062012</v>
      </c>
      <c r="E51" s="52">
        <f>(-(一些设定!L8^0.25*40)+('枪械实际规格（美系）'!D2^0.25*20)+('枪械实际规格（美系）'!D3^0.125*5))*1.5-E30/1.5</f>
        <v>-165.728348929853</v>
      </c>
      <c r="F51" s="52">
        <f>(-(一些设定!D8^0.25*40)+('枪械实际规格（美系）'!E2^0.25*20)+('枪械实际规格（美系）'!E3^0.125*5))*1.5-F30/1.5</f>
        <v>-173.265066812592</v>
      </c>
      <c r="G51" s="52">
        <f>(-(一些设定!L8^0.25*40)+('枪械实际规格（美系）'!F2^0.25*20)+('枪械实际规格（美系）'!F3^0.125*5))*1.5-G30/1.5</f>
        <v>-144.67200768342</v>
      </c>
      <c r="H51" s="52">
        <f>(-(一些设定!D8^0.25*40)+('枪械实际规格（美系）'!G2^0.25*20)+('枪械实际规格（美系）'!G3^0.125*5))*1.5-H30/1.5</f>
        <v>-197.327836008552</v>
      </c>
      <c r="I51" s="52">
        <f>(-(一些设定!D8^0.25*40)+('枪械实际规格（美系）'!H2^0.25*20)+('枪械实际规格（美系）'!H3^0.125*5))*1.5-I30/1.5</f>
        <v>-236.74683751381</v>
      </c>
      <c r="J51" s="52">
        <f>(-(一些设定!G8^0.25*40)+('枪械实际规格（美系）'!I2^0.25*20)+('枪械实际规格（美系）'!I3^0.125*5))*1.5-J30/1.5</f>
        <v>-160.688822999945</v>
      </c>
      <c r="K51" s="52">
        <f>(-(一些设定!K8^0.25*40)+('枪械实际规格（美系）'!J2^0.25*20)+('枪械实际规格（美系）'!J3^0.125*5))*1.5-K30/1.5</f>
        <v>-142.157140825713</v>
      </c>
      <c r="L51" s="52"/>
      <c r="AD51" s="91"/>
      <c r="AI51" s="91"/>
      <c r="AN51" s="52"/>
      <c r="AS51" s="52"/>
    </row>
    <row r="52" ht="49.5" spans="2:45">
      <c r="B52" s="41" t="s">
        <v>77</v>
      </c>
      <c r="C52" s="36">
        <f t="shared" ref="C52:L52" si="24">C51*1.5</f>
        <v>-234.85473663872</v>
      </c>
      <c r="D52" s="36">
        <f t="shared" si="24"/>
        <v>-268.766136093018</v>
      </c>
      <c r="E52" s="36">
        <f t="shared" si="24"/>
        <v>-248.59252339478</v>
      </c>
      <c r="F52" s="36">
        <f t="shared" si="24"/>
        <v>-259.897600218888</v>
      </c>
      <c r="G52" s="36">
        <f t="shared" si="24"/>
        <v>-217.008011525129</v>
      </c>
      <c r="H52" s="36">
        <f t="shared" si="24"/>
        <v>-295.991754012829</v>
      </c>
      <c r="I52" s="36">
        <f t="shared" si="24"/>
        <v>-355.120256270715</v>
      </c>
      <c r="J52" s="36">
        <f t="shared" si="24"/>
        <v>-241.033234499917</v>
      </c>
      <c r="K52" s="36">
        <f t="shared" si="24"/>
        <v>-213.23571123857</v>
      </c>
      <c r="L52" s="36"/>
      <c r="AD52" s="92"/>
      <c r="AI52" s="92"/>
      <c r="AN52" s="36"/>
      <c r="AS52" s="36"/>
    </row>
    <row r="53" ht="49.5" spans="2:45">
      <c r="B53" s="41" t="s">
        <v>78</v>
      </c>
      <c r="C53" s="36">
        <f t="shared" ref="C53:L53" si="25">-C51*1.1</f>
        <v>172.226806868394</v>
      </c>
      <c r="D53" s="36">
        <f t="shared" si="25"/>
        <v>197.095166468213</v>
      </c>
      <c r="E53" s="36">
        <f t="shared" si="25"/>
        <v>182.301183822839</v>
      </c>
      <c r="F53" s="36">
        <f t="shared" si="25"/>
        <v>190.591573493851</v>
      </c>
      <c r="G53" s="36">
        <f t="shared" si="25"/>
        <v>159.139208451762</v>
      </c>
      <c r="H53" s="36">
        <f t="shared" si="25"/>
        <v>217.060619609408</v>
      </c>
      <c r="I53" s="36">
        <f t="shared" si="25"/>
        <v>260.421521265191</v>
      </c>
      <c r="J53" s="36">
        <f t="shared" si="25"/>
        <v>176.757705299939</v>
      </c>
      <c r="K53" s="36">
        <f t="shared" si="25"/>
        <v>156.372854908285</v>
      </c>
      <c r="L53" s="36"/>
      <c r="AD53" s="92"/>
      <c r="AI53" s="92"/>
      <c r="AN53" s="36"/>
      <c r="AS53" s="36"/>
    </row>
    <row r="54" ht="49.5" spans="2:45">
      <c r="B54" s="41" t="s">
        <v>79</v>
      </c>
      <c r="C54" s="36">
        <f t="shared" ref="C54:L54" si="26">-C52*1.15</f>
        <v>270.082947134527</v>
      </c>
      <c r="D54" s="36">
        <f t="shared" si="26"/>
        <v>309.081056506971</v>
      </c>
      <c r="E54" s="36">
        <f t="shared" si="26"/>
        <v>285.881401903997</v>
      </c>
      <c r="F54" s="36">
        <f t="shared" si="26"/>
        <v>298.882240251721</v>
      </c>
      <c r="G54" s="36">
        <f t="shared" si="26"/>
        <v>249.559213253899</v>
      </c>
      <c r="H54" s="36">
        <f t="shared" si="26"/>
        <v>340.390517114753</v>
      </c>
      <c r="I54" s="36">
        <f t="shared" si="26"/>
        <v>408.388294711322</v>
      </c>
      <c r="J54" s="36">
        <f t="shared" si="26"/>
        <v>277.188219674905</v>
      </c>
      <c r="K54" s="36">
        <f t="shared" si="26"/>
        <v>245.221067924355</v>
      </c>
      <c r="L54" s="36"/>
      <c r="AD54" s="92"/>
      <c r="AI54" s="92"/>
      <c r="AN54" s="36"/>
      <c r="AS54" s="36"/>
    </row>
    <row r="55" ht="49.5" spans="2:45">
      <c r="B55" s="41" t="s">
        <v>80</v>
      </c>
      <c r="C55" s="36">
        <f t="shared" ref="C55:L55" si="27">-C51*1.05</f>
        <v>164.398315647104</v>
      </c>
      <c r="D55" s="36">
        <f t="shared" si="27"/>
        <v>188.136295265113</v>
      </c>
      <c r="E55" s="36">
        <f t="shared" si="27"/>
        <v>174.014766376346</v>
      </c>
      <c r="F55" s="36">
        <f t="shared" si="27"/>
        <v>181.928320153222</v>
      </c>
      <c r="G55" s="36">
        <f t="shared" si="27"/>
        <v>151.905608067591</v>
      </c>
      <c r="H55" s="36">
        <f t="shared" si="27"/>
        <v>207.19422780898</v>
      </c>
      <c r="I55" s="36">
        <f t="shared" si="27"/>
        <v>248.5841793895</v>
      </c>
      <c r="J55" s="36">
        <f t="shared" si="27"/>
        <v>168.723264149942</v>
      </c>
      <c r="K55" s="36">
        <f t="shared" si="27"/>
        <v>149.264997866999</v>
      </c>
      <c r="L55" s="36"/>
      <c r="AD55" s="92"/>
      <c r="AI55" s="92"/>
      <c r="AN55" s="36"/>
      <c r="AS55" s="36"/>
    </row>
    <row r="56" ht="49.5" spans="2:45">
      <c r="B56" s="41" t="s">
        <v>81</v>
      </c>
      <c r="C56" s="36">
        <f t="shared" ref="C56:L56" si="28">-C52*1.1</f>
        <v>258.340210302592</v>
      </c>
      <c r="D56" s="36">
        <f t="shared" si="28"/>
        <v>295.64274970232</v>
      </c>
      <c r="E56" s="36">
        <f t="shared" si="28"/>
        <v>273.451775734258</v>
      </c>
      <c r="F56" s="36">
        <f t="shared" si="28"/>
        <v>285.887360240777</v>
      </c>
      <c r="G56" s="36">
        <f t="shared" si="28"/>
        <v>238.708812677642</v>
      </c>
      <c r="H56" s="36">
        <f t="shared" si="28"/>
        <v>325.590929414111</v>
      </c>
      <c r="I56" s="36">
        <f t="shared" si="28"/>
        <v>390.632281897786</v>
      </c>
      <c r="J56" s="36">
        <f t="shared" si="28"/>
        <v>265.136557949909</v>
      </c>
      <c r="K56" s="36">
        <f t="shared" si="28"/>
        <v>234.559282362427</v>
      </c>
      <c r="L56" s="36"/>
      <c r="AD56" s="92"/>
      <c r="AI56" s="92"/>
      <c r="AN56" s="36"/>
      <c r="AS56" s="36"/>
    </row>
    <row r="57" ht="49.5" spans="2:45">
      <c r="B57" s="41" t="s">
        <v>82</v>
      </c>
      <c r="C57" s="36">
        <f>-100+1/((C30/3)^2)*300000+'枪械实际规格（美系）'!B2^2+'枪械实际规格（美系）'!B3^2/1000</f>
        <v>790.788353990144</v>
      </c>
      <c r="D57" s="36">
        <f>-100+1/((D30/3)^2)*300000+'枪械实际规格（美系）'!C2^2+'枪械实际规格（美系）'!C3^2/1000</f>
        <v>1189.21857814833</v>
      </c>
      <c r="E57" s="36">
        <f>-100+1/((E30/3)^2)*300000+'枪械实际规格（美系）'!D2^2+'枪械实际规格（美系）'!D3^2/1000</f>
        <v>636.761909974031</v>
      </c>
      <c r="F57" s="36">
        <f>-100+1/((F30/3)^2)*300000+'枪械实际规格（美系）'!E2^2+'枪械实际规格（美系）'!E3^2/1000</f>
        <v>1176.77953548676</v>
      </c>
      <c r="G57" s="36">
        <f>-100+1/((G30/3)^2)*300000+'枪械实际规格（美系）'!F2^2+'枪械实际规格（美系）'!F3^2/1000</f>
        <v>49.2677698797549</v>
      </c>
      <c r="H57" s="36">
        <f>-100+1/((H30/3)^2)*300000+'枪械实际规格（美系）'!G2^2+'枪械实际规格（美系）'!G3^2/1000</f>
        <v>1491.6553686025</v>
      </c>
      <c r="I57" s="36">
        <f>-100+1/((I30/3)^2)*300000+'枪械实际规格（美系）'!H2^2+'枪械实际规格（美系）'!H3^2/1000</f>
        <v>1078.21269529599</v>
      </c>
      <c r="J57" s="36">
        <f>-100+1/((J30/3)^2)*300000+'枪械实际规格（美系）'!I2^2+'枪械实际规格（美系）'!I3^2/1000</f>
        <v>685.498274981029</v>
      </c>
      <c r="K57" s="36">
        <f>-100+1/((K30/3)^2)*300000+'枪械实际规格（美系）'!J2^2+'枪械实际规格（美系）'!J3^2/1000</f>
        <v>58.8484720434815</v>
      </c>
      <c r="L57" s="36"/>
      <c r="AD57" s="92"/>
      <c r="AI57" s="92"/>
      <c r="AN57" s="36"/>
      <c r="AS57" s="36"/>
    </row>
    <row r="58" ht="49.5" spans="2:45">
      <c r="B58" s="41" t="s">
        <v>83</v>
      </c>
      <c r="C58" s="36">
        <f>-100+1/((C32/3)^2)*300000+'枪械实际规格（美系）'!B2^2+'枪械实际规格（美系）'!B3^2/1000</f>
        <v>808.153029617462</v>
      </c>
      <c r="D58" s="36">
        <f>-100+1/((D32/3)^2)*300000+'枪械实际规格（美系）'!C2^2+'枪械实际规格（美系）'!C3^2/1000</f>
        <v>1201.21170141769</v>
      </c>
      <c r="E58" s="36">
        <f>-100+1/((E32/3)^2)*300000+'枪械实际规格（美系）'!D2^2+'枪械实际规格（美系）'!D3^2/1000</f>
        <v>650.278160461766</v>
      </c>
      <c r="F58" s="36">
        <f>-100+1/((F32/3)^2)*300000+'枪械实际规格（美系）'!E2^2+'枪械实际规格（美系）'!E3^2/1000</f>
        <v>1190.34856973674</v>
      </c>
      <c r="G58" s="36">
        <f>-100+1/((G32/3)^2)*300000+'枪械实际规格（美系）'!F2^2+'枪械实际规格（美系）'!F3^2/1000</f>
        <v>73.5989751601912</v>
      </c>
      <c r="H58" s="36">
        <f>-100+1/((H32/3)^2)*300000+'枪械实际规格（美系）'!G2^2+'枪械实际规格（美系）'!G3^2/1000</f>
        <v>1500.56668963272</v>
      </c>
      <c r="I58" s="36">
        <f>-100+1/((I32/3)^2)*300000+'枪械实际规格（美系）'!H2^2+'枪械实际规格（美系）'!H3^2/1000</f>
        <v>1083.82278431604</v>
      </c>
      <c r="J58" s="36">
        <f>-100+1/((J32/3)^2)*300000+'枪械实际规格（美系）'!I2^2+'枪械实际规格（美系）'!I3^2/1000</f>
        <v>701.349945655591</v>
      </c>
      <c r="K58" s="36">
        <f>-100+1/((K32/3)^2)*300000+'枪械实际规格（美系）'!J2^2+'枪械实际规格（美系）'!J3^2/1000</f>
        <v>85.0831259796067</v>
      </c>
      <c r="L58" s="36"/>
      <c r="AD58" s="92"/>
      <c r="AI58" s="92"/>
      <c r="AN58" s="36"/>
      <c r="AS58" s="36"/>
    </row>
    <row r="59" ht="49.5" spans="2:11">
      <c r="B59" s="41" t="s">
        <v>84</v>
      </c>
      <c r="C59" s="36">
        <v>0</v>
      </c>
      <c r="D59" s="90">
        <v>0</v>
      </c>
      <c r="E59" s="41">
        <v>0</v>
      </c>
      <c r="F59" s="41">
        <v>0</v>
      </c>
      <c r="G59" s="41">
        <v>0</v>
      </c>
      <c r="H59" s="41">
        <v>0</v>
      </c>
      <c r="I59" s="41">
        <v>0</v>
      </c>
      <c r="J59" s="36">
        <v>0</v>
      </c>
      <c r="K59" s="41">
        <v>0</v>
      </c>
    </row>
    <row r="60" ht="49.5" spans="2:11">
      <c r="B60" s="41" t="s">
        <v>85</v>
      </c>
      <c r="C60" s="36">
        <v>75</v>
      </c>
      <c r="D60" s="90">
        <v>75</v>
      </c>
      <c r="E60" s="41">
        <v>75</v>
      </c>
      <c r="F60" s="41">
        <v>75</v>
      </c>
      <c r="G60" s="41">
        <v>75</v>
      </c>
      <c r="H60" s="41">
        <v>75</v>
      </c>
      <c r="I60" s="41">
        <v>75</v>
      </c>
      <c r="J60" s="36">
        <v>75</v>
      </c>
      <c r="K60" s="41">
        <v>75</v>
      </c>
    </row>
    <row r="61" ht="33" spans="2:45">
      <c r="B61" s="41" t="s">
        <v>86</v>
      </c>
      <c r="C61" s="36">
        <f>一些设定!J8*10-'枪械实际规格（美系）'!B2-25</f>
        <v>12.4864313189781</v>
      </c>
      <c r="D61" s="36">
        <f>一些设定!D8*10-'枪械实际规格（美系）'!C2-25</f>
        <v>19.1974439196041</v>
      </c>
      <c r="E61" s="36">
        <f>一些设定!L8*10-'枪械实际规格（美系）'!D2-25</f>
        <v>7.07767035738021</v>
      </c>
      <c r="F61" s="36">
        <f>一些设定!D8*10-'枪械实际规格（美系）'!E2-25</f>
        <v>20.5574439196041</v>
      </c>
      <c r="G61" s="36">
        <f>一些设定!L8*10-'枪械实际规格（美系）'!F2-25</f>
        <v>10.6776703573802</v>
      </c>
      <c r="H61" s="36">
        <f>一些设定!D8*10-'枪械实际规格（美系）'!G2-25</f>
        <v>15.6974439196041</v>
      </c>
      <c r="I61" s="36">
        <f>一些设定!D8*10-'枪械实际规格（美系）'!H2-25</f>
        <v>9.49744391960409</v>
      </c>
      <c r="J61" s="36">
        <f>一些设定!G8*10-'枪械实际规格（美系）'!I2-25</f>
        <v>13.4960941451373</v>
      </c>
      <c r="K61" s="36">
        <f>一些设定!K8*10-'枪械实际规格（美系）'!J2-25</f>
        <v>12.2530731939357</v>
      </c>
      <c r="L61" s="36"/>
      <c r="AD61" s="92"/>
      <c r="AI61" s="92"/>
      <c r="AN61" s="36"/>
      <c r="AS61" s="36"/>
    </row>
    <row r="62" s="51" customFormat="1" ht="33" spans="1:45">
      <c r="A62" s="48" t="s">
        <v>87</v>
      </c>
      <c r="B62" s="51" t="s">
        <v>88</v>
      </c>
      <c r="C62" s="55">
        <f>1/('枪械实际规格（美系）'!B4/60)</f>
        <v>0.15</v>
      </c>
      <c r="D62" s="95">
        <f>1/('枪械实际规格（美系）'!C4/60)</f>
        <v>0.15</v>
      </c>
      <c r="E62" s="55">
        <f>1/('枪械实际规格（美系）'!D4/60)</f>
        <v>0.0857142857142857</v>
      </c>
      <c r="F62" s="55">
        <f>1/('枪械实际规格（美系）'!E4/60)</f>
        <v>0.3</v>
      </c>
      <c r="G62" s="55">
        <f>1/('枪械实际规格（美系）'!F4/60)</f>
        <v>0.15</v>
      </c>
      <c r="H62" s="55">
        <f>1/('枪械实际规格（美系）'!G4/60)</f>
        <v>0.0923076923076923</v>
      </c>
      <c r="I62" s="55">
        <f>1/('枪械实际规格（美系）'!H4/60)</f>
        <v>0.1</v>
      </c>
      <c r="J62" s="55">
        <f>1/('枪械实际规格（美系）'!I4/60)</f>
        <v>0.0631578947368421</v>
      </c>
      <c r="K62" s="55">
        <f>1/('枪械实际规格（美系）'!J4/60)</f>
        <v>0.15</v>
      </c>
      <c r="L62" s="55"/>
      <c r="AD62" s="95"/>
      <c r="AI62" s="95"/>
      <c r="AN62" s="55"/>
      <c r="AS62" s="55"/>
    </row>
    <row r="63" spans="2:45">
      <c r="B63" s="41" t="s">
        <v>89</v>
      </c>
      <c r="C63" s="37">
        <f t="shared" ref="C63:H63" si="29">C28*1.25</f>
        <v>0.298402777777778</v>
      </c>
      <c r="D63" s="94">
        <f t="shared" si="29"/>
        <v>0.3590625</v>
      </c>
      <c r="E63" s="37">
        <f t="shared" si="29"/>
        <v>0.338226851851852</v>
      </c>
      <c r="F63" s="37">
        <f t="shared" si="29"/>
        <v>0.337568356882407</v>
      </c>
      <c r="G63" s="37">
        <f t="shared" si="29"/>
        <v>0.252089285714286</v>
      </c>
      <c r="H63" s="37">
        <f t="shared" si="29"/>
        <v>0.416548096707819</v>
      </c>
      <c r="I63" s="37">
        <f t="shared" ref="I63:L63" si="30">I28*1.25</f>
        <v>0.524990352697095</v>
      </c>
      <c r="J63" s="37">
        <f t="shared" si="30"/>
        <v>0.312319196428571</v>
      </c>
      <c r="K63" s="37">
        <f t="shared" si="30"/>
        <v>0.242771962616822</v>
      </c>
      <c r="L63" s="37"/>
      <c r="AD63" s="94"/>
      <c r="AI63" s="94"/>
      <c r="AN63" s="37"/>
      <c r="AS63" s="37"/>
    </row>
    <row r="64" spans="2:45">
      <c r="B64" s="41" t="s">
        <v>90</v>
      </c>
      <c r="C64" s="56">
        <f t="shared" ref="C64:H64" si="31">C29*1.25</f>
        <v>0.223802083333333</v>
      </c>
      <c r="D64" s="96">
        <f t="shared" si="31"/>
        <v>0.269296875</v>
      </c>
      <c r="E64" s="56">
        <f t="shared" si="31"/>
        <v>0.253670138888889</v>
      </c>
      <c r="F64" s="56">
        <f t="shared" si="31"/>
        <v>0.253176267661805</v>
      </c>
      <c r="G64" s="56">
        <f t="shared" si="31"/>
        <v>0.189066964285714</v>
      </c>
      <c r="H64" s="56">
        <f t="shared" si="31"/>
        <v>0.312411072530864</v>
      </c>
      <c r="I64" s="56">
        <f t="shared" ref="I64:L64" si="32">I29*1.25</f>
        <v>0.393742764522821</v>
      </c>
      <c r="J64" s="56">
        <f t="shared" si="32"/>
        <v>0.234239397321428</v>
      </c>
      <c r="K64" s="56">
        <f t="shared" si="32"/>
        <v>0.182078971962617</v>
      </c>
      <c r="L64" s="56"/>
      <c r="AD64" s="96"/>
      <c r="AI64" s="96"/>
      <c r="AN64" s="37"/>
      <c r="AS64" s="37"/>
    </row>
    <row r="65" ht="33" spans="2:45">
      <c r="B65" s="41" t="s">
        <v>91</v>
      </c>
      <c r="C65" s="56">
        <f t="shared" ref="C65:H65" si="33">C63*1.25</f>
        <v>0.373003472222222</v>
      </c>
      <c r="D65" s="96">
        <f t="shared" si="33"/>
        <v>0.448828125</v>
      </c>
      <c r="E65" s="56">
        <f t="shared" si="33"/>
        <v>0.422783564814815</v>
      </c>
      <c r="F65" s="56">
        <f t="shared" si="33"/>
        <v>0.421960446103008</v>
      </c>
      <c r="G65" s="56">
        <f t="shared" si="33"/>
        <v>0.315111607142857</v>
      </c>
      <c r="H65" s="56">
        <f t="shared" si="33"/>
        <v>0.520685120884774</v>
      </c>
      <c r="I65" s="56">
        <f t="shared" ref="I65:L65" si="34">I63*1.25</f>
        <v>0.656237940871369</v>
      </c>
      <c r="J65" s="56">
        <f t="shared" si="34"/>
        <v>0.390398995535714</v>
      </c>
      <c r="K65" s="56">
        <f t="shared" si="34"/>
        <v>0.303464953271028</v>
      </c>
      <c r="L65" s="56"/>
      <c r="AD65" s="96"/>
      <c r="AI65" s="96"/>
      <c r="AN65" s="37"/>
      <c r="AS65" s="37"/>
    </row>
    <row r="66" s="51" customFormat="1" ht="45" spans="1:45">
      <c r="A66" s="48" t="s">
        <v>92</v>
      </c>
      <c r="B66" s="51" t="s">
        <v>93</v>
      </c>
      <c r="C66" s="57">
        <f t="shared" ref="C66:L66" si="35">C13</f>
        <v>257.175</v>
      </c>
      <c r="D66" s="57">
        <f t="shared" si="35"/>
        <v>390.525</v>
      </c>
      <c r="E66" s="57">
        <f t="shared" si="35"/>
        <v>228.6</v>
      </c>
      <c r="F66" s="57">
        <f t="shared" si="35"/>
        <v>390.525</v>
      </c>
      <c r="G66" s="57">
        <f t="shared" si="35"/>
        <v>228.6</v>
      </c>
      <c r="H66" s="57">
        <f t="shared" si="35"/>
        <v>390.525</v>
      </c>
      <c r="I66" s="57">
        <f t="shared" si="35"/>
        <v>390.525</v>
      </c>
      <c r="J66" s="57">
        <f t="shared" si="35"/>
        <v>291.9</v>
      </c>
      <c r="K66" s="57">
        <f t="shared" si="35"/>
        <v>236.25</v>
      </c>
      <c r="L66" s="57"/>
      <c r="AD66" s="91"/>
      <c r="AI66" s="91"/>
      <c r="AN66" s="91"/>
      <c r="AS66" s="91"/>
    </row>
    <row r="67" ht="33" spans="2:45">
      <c r="B67" s="41" t="s">
        <v>94</v>
      </c>
      <c r="C67" s="59">
        <f t="shared" ref="C67:L67" si="36">C66</f>
        <v>257.175</v>
      </c>
      <c r="D67" s="59">
        <f t="shared" si="36"/>
        <v>390.525</v>
      </c>
      <c r="E67" s="59">
        <f t="shared" si="36"/>
        <v>228.6</v>
      </c>
      <c r="F67" s="59">
        <f t="shared" si="36"/>
        <v>390.525</v>
      </c>
      <c r="G67" s="59">
        <f t="shared" si="36"/>
        <v>228.6</v>
      </c>
      <c r="H67" s="59">
        <f t="shared" si="36"/>
        <v>390.525</v>
      </c>
      <c r="I67" s="59">
        <f t="shared" si="36"/>
        <v>390.525</v>
      </c>
      <c r="J67" s="59">
        <f t="shared" si="36"/>
        <v>291.9</v>
      </c>
      <c r="K67" s="59">
        <f t="shared" si="36"/>
        <v>236.25</v>
      </c>
      <c r="L67" s="59"/>
      <c r="AD67" s="92"/>
      <c r="AI67" s="92"/>
      <c r="AN67" s="92"/>
      <c r="AS67" s="92"/>
    </row>
    <row r="68" ht="33" spans="2:12">
      <c r="B68" s="41" t="s">
        <v>95</v>
      </c>
      <c r="C68" s="61">
        <v>0.3</v>
      </c>
      <c r="D68" s="62">
        <v>0.3</v>
      </c>
      <c r="E68" s="61">
        <v>0.45</v>
      </c>
      <c r="F68" s="61">
        <v>0.3</v>
      </c>
      <c r="G68" s="61">
        <v>0.45</v>
      </c>
      <c r="H68" s="61">
        <v>0.3</v>
      </c>
      <c r="I68" s="61">
        <v>0.3</v>
      </c>
      <c r="J68" s="61">
        <v>0.22</v>
      </c>
      <c r="K68" s="61">
        <v>0.357</v>
      </c>
      <c r="L68" s="61"/>
    </row>
    <row r="69" ht="33" spans="2:45">
      <c r="B69" s="41" t="s">
        <v>96</v>
      </c>
      <c r="C69" s="62">
        <v>180</v>
      </c>
      <c r="D69" s="62">
        <v>180</v>
      </c>
      <c r="E69" s="62">
        <v>180</v>
      </c>
      <c r="F69" s="62">
        <v>180</v>
      </c>
      <c r="G69" s="62">
        <v>180</v>
      </c>
      <c r="H69" s="62">
        <v>180</v>
      </c>
      <c r="I69" s="62">
        <v>180</v>
      </c>
      <c r="J69" s="62">
        <v>180</v>
      </c>
      <c r="K69" s="62">
        <v>180</v>
      </c>
      <c r="L69" s="62"/>
      <c r="AN69" s="90"/>
      <c r="AS69" s="90"/>
    </row>
    <row r="70" ht="33" spans="2:45">
      <c r="B70" s="41" t="s">
        <v>97</v>
      </c>
      <c r="C70" s="65">
        <f>'枪械实际规格（美系）'!B5</f>
        <v>23897.59</v>
      </c>
      <c r="D70" s="59">
        <f>'枪械实际规格（美系）'!C5</f>
        <v>33582.61</v>
      </c>
      <c r="E70" s="65">
        <f>'枪械实际规格（美系）'!D5</f>
        <v>11220.45</v>
      </c>
      <c r="F70" s="65">
        <f>'枪械实际规格（美系）'!E5</f>
        <v>33621.98</v>
      </c>
      <c r="G70" s="65">
        <f>'枪械实际规格（美系）'!F5</f>
        <v>9881.87</v>
      </c>
      <c r="H70" s="65">
        <f>'枪械实际规格（美系）'!G5</f>
        <v>33858.2</v>
      </c>
      <c r="I70" s="65">
        <f>'枪械实际规格（美系）'!H5</f>
        <v>33464.5</v>
      </c>
      <c r="J70" s="65">
        <f>'枪械实际规格（美系）'!I5</f>
        <v>34645.6</v>
      </c>
      <c r="K70" s="65">
        <f>'枪械实际规格（美系）'!J5</f>
        <v>18110.2</v>
      </c>
      <c r="L70" s="65"/>
      <c r="AD70" s="92"/>
      <c r="AI70" s="92"/>
      <c r="AN70" s="36"/>
      <c r="AS70" s="36"/>
    </row>
    <row r="71" spans="2:45">
      <c r="B71" s="41" t="s">
        <v>98</v>
      </c>
      <c r="C71" s="62" t="s">
        <v>24</v>
      </c>
      <c r="D71" s="62" t="s">
        <v>24</v>
      </c>
      <c r="E71" s="62" t="s">
        <v>24</v>
      </c>
      <c r="F71" s="62" t="s">
        <v>24</v>
      </c>
      <c r="G71" s="62" t="s">
        <v>24</v>
      </c>
      <c r="H71" s="62" t="s">
        <v>24</v>
      </c>
      <c r="I71" s="62" t="s">
        <v>24</v>
      </c>
      <c r="J71" s="62" t="s">
        <v>24</v>
      </c>
      <c r="K71" s="62" t="s">
        <v>24</v>
      </c>
      <c r="L71" s="62"/>
      <c r="AN71" s="90"/>
      <c r="AS71" s="90"/>
    </row>
    <row r="72" s="51" customFormat="1" ht="33" spans="2:12">
      <c r="B72" s="51" t="s">
        <v>99</v>
      </c>
      <c r="C72" s="64">
        <v>1</v>
      </c>
      <c r="D72" s="64">
        <v>1</v>
      </c>
      <c r="E72" s="64">
        <v>1</v>
      </c>
      <c r="F72" s="64">
        <v>1</v>
      </c>
      <c r="G72" s="64">
        <v>1</v>
      </c>
      <c r="H72" s="64">
        <v>1</v>
      </c>
      <c r="I72" s="64">
        <v>1</v>
      </c>
      <c r="J72" s="64">
        <v>1</v>
      </c>
      <c r="K72" s="64">
        <v>1</v>
      </c>
      <c r="L72" s="64"/>
    </row>
    <row r="73" ht="33" spans="2:12">
      <c r="B73" s="41" t="s">
        <v>100</v>
      </c>
      <c r="C73" s="61">
        <v>2</v>
      </c>
      <c r="D73" s="62">
        <v>1</v>
      </c>
      <c r="E73" s="61">
        <v>3</v>
      </c>
      <c r="F73" s="61">
        <v>1</v>
      </c>
      <c r="G73" s="61">
        <v>3</v>
      </c>
      <c r="H73" s="61">
        <v>1</v>
      </c>
      <c r="I73" s="61">
        <v>1</v>
      </c>
      <c r="J73" s="61">
        <v>1</v>
      </c>
      <c r="K73" s="61">
        <v>3</v>
      </c>
      <c r="L73" s="61"/>
    </row>
    <row r="74" ht="33" spans="2:45">
      <c r="B74" s="41" t="s">
        <v>101</v>
      </c>
      <c r="C74" s="65">
        <f>40*39.37</f>
        <v>1574.8</v>
      </c>
      <c r="D74" s="59">
        <f>75*39.37</f>
        <v>2952.75</v>
      </c>
      <c r="E74" s="65">
        <f>20*39.37</f>
        <v>787.4</v>
      </c>
      <c r="F74" s="65">
        <f>100*39.37</f>
        <v>3937</v>
      </c>
      <c r="G74" s="65">
        <f>10*39.37</f>
        <v>393.7</v>
      </c>
      <c r="H74" s="65">
        <f>75*39.37</f>
        <v>2952.75</v>
      </c>
      <c r="I74" s="65">
        <f>150*39.37</f>
        <v>5905.5</v>
      </c>
      <c r="J74" s="65">
        <f>75*39.37</f>
        <v>2952.75</v>
      </c>
      <c r="K74" s="65">
        <f>10*39.37</f>
        <v>393.7</v>
      </c>
      <c r="L74" s="65"/>
      <c r="AD74" s="92"/>
      <c r="AI74" s="92"/>
      <c r="AN74" s="36"/>
      <c r="AS74" s="36"/>
    </row>
    <row r="75" ht="33" spans="2:12">
      <c r="B75" s="41" t="s">
        <v>102</v>
      </c>
      <c r="C75" s="61">
        <v>2</v>
      </c>
      <c r="D75" s="62">
        <v>2</v>
      </c>
      <c r="E75" s="61">
        <v>2</v>
      </c>
      <c r="F75" s="61">
        <v>2</v>
      </c>
      <c r="G75" s="61">
        <v>2</v>
      </c>
      <c r="H75" s="61">
        <v>2</v>
      </c>
      <c r="I75" s="61">
        <v>2</v>
      </c>
      <c r="J75" s="61">
        <v>2</v>
      </c>
      <c r="K75" s="61">
        <v>2</v>
      </c>
      <c r="L75" s="61"/>
    </row>
    <row r="76" ht="33" spans="2:12">
      <c r="B76" s="41" t="s">
        <v>103</v>
      </c>
      <c r="C76" s="61">
        <v>-192</v>
      </c>
      <c r="D76" s="62">
        <v>-192</v>
      </c>
      <c r="E76" s="61">
        <v>-192</v>
      </c>
      <c r="F76" s="61">
        <v>-192</v>
      </c>
      <c r="G76" s="61">
        <v>-192</v>
      </c>
      <c r="H76" s="61">
        <v>-192</v>
      </c>
      <c r="I76" s="61">
        <v>-192</v>
      </c>
      <c r="J76" s="61">
        <v>-192</v>
      </c>
      <c r="K76" s="61">
        <v>-192</v>
      </c>
      <c r="L76" s="61"/>
    </row>
    <row r="77" spans="3:45">
      <c r="C77" s="36"/>
      <c r="D77" s="92"/>
      <c r="E77" s="36"/>
      <c r="F77" s="36"/>
      <c r="G77" s="36"/>
      <c r="H77" s="36"/>
      <c r="I77" s="36"/>
      <c r="J77" s="36"/>
      <c r="K77" s="36"/>
      <c r="L77" s="36"/>
      <c r="AD77" s="92"/>
      <c r="AI77" s="92"/>
      <c r="AN77" s="36"/>
      <c r="AS77" s="36"/>
    </row>
  </sheetData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zoomScale="85" zoomScaleNormal="85" workbookViewId="0">
      <selection activeCell="E14" sqref="E14"/>
    </sheetView>
  </sheetViews>
  <sheetFormatPr defaultColWidth="8.125" defaultRowHeight="13.5" outlineLevelRow="5"/>
  <cols>
    <col min="1" max="1" width="14.75" customWidth="1"/>
    <col min="2" max="2" width="8.25" customWidth="1"/>
    <col min="3" max="4" width="11.375" customWidth="1"/>
    <col min="5" max="5" width="12.125" customWidth="1"/>
    <col min="6" max="6" width="21.375" customWidth="1"/>
  </cols>
  <sheetData>
    <row r="1" ht="15" spans="1:11">
      <c r="A1" s="1"/>
      <c r="B1" s="1" t="s">
        <v>250</v>
      </c>
      <c r="C1" s="1" t="s">
        <v>251</v>
      </c>
      <c r="D1" s="1" t="s">
        <v>252</v>
      </c>
      <c r="E1" s="1" t="s">
        <v>253</v>
      </c>
      <c r="F1" s="1" t="s">
        <v>254</v>
      </c>
      <c r="G1" s="1"/>
      <c r="H1" s="1"/>
      <c r="I1" s="1"/>
      <c r="K1" s="1"/>
    </row>
    <row r="2" ht="16.5" spans="1:11">
      <c r="A2" s="2" t="s">
        <v>201</v>
      </c>
      <c r="B2" s="2">
        <v>3.8</v>
      </c>
      <c r="C2" s="2">
        <v>4.4</v>
      </c>
      <c r="D2" s="2">
        <v>0.765</v>
      </c>
      <c r="E2" s="2">
        <v>10.4</v>
      </c>
      <c r="F2" s="2">
        <v>3.9</v>
      </c>
      <c r="G2" s="2"/>
      <c r="H2" s="2"/>
      <c r="I2" s="2"/>
      <c r="K2" s="2"/>
    </row>
    <row r="3" ht="16.5" spans="1:11">
      <c r="A3" s="2" t="s">
        <v>230</v>
      </c>
      <c r="B3" s="2">
        <v>1118</v>
      </c>
      <c r="C3" s="2">
        <v>900</v>
      </c>
      <c r="D3" s="2">
        <v>187</v>
      </c>
      <c r="E3" s="2">
        <v>1181</v>
      </c>
      <c r="F3" s="2">
        <v>1118</v>
      </c>
      <c r="G3" s="2"/>
      <c r="H3" s="2"/>
      <c r="I3" s="2"/>
      <c r="K3" s="2"/>
    </row>
    <row r="4" ht="16.5" spans="1:11">
      <c r="A4" s="2" t="s">
        <v>231</v>
      </c>
      <c r="B4" s="2">
        <v>200</v>
      </c>
      <c r="C4" s="2">
        <v>800</v>
      </c>
      <c r="D4" s="2">
        <v>400</v>
      </c>
      <c r="E4" s="2">
        <v>700</v>
      </c>
      <c r="F4" s="2">
        <v>200</v>
      </c>
      <c r="G4" s="2"/>
      <c r="H4" s="2"/>
      <c r="I4" s="2"/>
      <c r="K4" s="2"/>
    </row>
    <row r="5" ht="16.5" spans="1:11">
      <c r="A5" s="2" t="s">
        <v>232</v>
      </c>
      <c r="B5" s="9">
        <f t="shared" ref="B5" si="0">730*39.37</f>
        <v>28740.1</v>
      </c>
      <c r="C5" s="9">
        <f>335*39.37</f>
        <v>13188.95</v>
      </c>
      <c r="D5" s="9">
        <f>305*39.37</f>
        <v>12007.85</v>
      </c>
      <c r="E5" s="9">
        <f>730*39.37</f>
        <v>28740.1</v>
      </c>
      <c r="F5" s="9">
        <f>730*39.37</f>
        <v>28740.1</v>
      </c>
      <c r="G5" s="9"/>
      <c r="H5" s="9"/>
      <c r="I5" s="9"/>
      <c r="K5" s="9"/>
    </row>
    <row r="6" ht="16.5" spans="1:11">
      <c r="A6" s="2" t="s">
        <v>233</v>
      </c>
      <c r="B6" s="10">
        <v>7.7</v>
      </c>
      <c r="C6" s="10" t="s">
        <v>188</v>
      </c>
      <c r="D6" s="10" t="s">
        <v>188</v>
      </c>
      <c r="E6" s="10">
        <v>7.7</v>
      </c>
      <c r="F6" s="10">
        <v>7.7</v>
      </c>
      <c r="G6" s="10"/>
      <c r="H6" s="2"/>
      <c r="I6" s="2"/>
      <c r="K6" s="9"/>
    </row>
  </sheetData>
  <pageMargins left="0.75" right="0.75" top="1" bottom="1" header="0.511805555555556" footer="0.51180555555555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67"/>
  <sheetViews>
    <sheetView zoomScale="85" zoomScaleNormal="85" topLeftCell="M1" workbookViewId="0">
      <pane ySplit="1" topLeftCell="A2" activePane="bottomLeft" state="frozen"/>
      <selection/>
      <selection pane="bottomLeft" activeCell="P20" sqref="P20"/>
    </sheetView>
  </sheetViews>
  <sheetFormatPr defaultColWidth="9" defaultRowHeight="16.5"/>
  <cols>
    <col min="1" max="1" width="48.375" style="2" customWidth="1"/>
    <col min="2" max="2" width="51.25" style="2" customWidth="1"/>
    <col min="3" max="3" width="47.125" style="2" customWidth="1"/>
    <col min="4" max="4" width="44.375" style="2" customWidth="1"/>
    <col min="5" max="5" width="45.625" style="2" customWidth="1"/>
    <col min="6" max="6" width="50" style="2" customWidth="1"/>
    <col min="7" max="7" width="3.625" style="2" customWidth="1"/>
    <col min="8" max="8" width="35.625" style="2" customWidth="1"/>
    <col min="9" max="10" width="32.125" style="2" customWidth="1"/>
    <col min="11" max="12" width="35.625" style="2" customWidth="1"/>
    <col min="13" max="13" width="3.625" style="2" customWidth="1"/>
    <col min="14" max="14" width="41.875" style="2" customWidth="1"/>
    <col min="15" max="16" width="43.625" style="2" customWidth="1"/>
    <col min="17" max="17" width="41.875" style="2" customWidth="1"/>
    <col min="18" max="18" width="3.625" style="2" customWidth="1"/>
    <col min="19" max="19" width="48.375" style="2" customWidth="1"/>
    <col min="20" max="20" width="53.875" style="3" customWidth="1"/>
    <col min="21" max="21" width="35.625" style="2" customWidth="1"/>
    <col min="22" max="22" width="3.625" style="2" customWidth="1"/>
    <col min="23" max="23" width="34.625" style="2" customWidth="1"/>
    <col min="24" max="24" width="51.625" style="2" customWidth="1"/>
    <col min="25" max="26" width="34.625" style="2" customWidth="1"/>
    <col min="27" max="27" width="3.625" style="2" customWidth="1"/>
    <col min="28" max="28" width="34.625" style="2" customWidth="1"/>
    <col min="29" max="29" width="3.625" style="2" customWidth="1"/>
    <col min="30" max="30" width="29.875" style="2" customWidth="1"/>
    <col min="31" max="16384" width="9" style="2"/>
  </cols>
  <sheetData>
    <row r="1" s="1" customFormat="1" ht="15" spans="1:30">
      <c r="A1" s="1" t="s">
        <v>247</v>
      </c>
      <c r="B1" s="1" t="s">
        <v>1</v>
      </c>
      <c r="C1" s="1" t="s">
        <v>240</v>
      </c>
      <c r="D1" s="1" t="s">
        <v>255</v>
      </c>
      <c r="E1" s="1" t="s">
        <v>256</v>
      </c>
      <c r="F1" s="1" t="s">
        <v>244</v>
      </c>
      <c r="H1" s="1" t="s">
        <v>4</v>
      </c>
      <c r="I1" s="1" t="s">
        <v>252</v>
      </c>
      <c r="J1" s="1" t="s">
        <v>245</v>
      </c>
      <c r="K1" s="1" t="s">
        <v>237</v>
      </c>
      <c r="L1" s="1" t="s">
        <v>228</v>
      </c>
      <c r="N1" s="1" t="s">
        <v>257</v>
      </c>
      <c r="O1" s="1" t="s">
        <v>258</v>
      </c>
      <c r="P1" s="1" t="s">
        <v>259</v>
      </c>
      <c r="Q1" s="1" t="s">
        <v>260</v>
      </c>
      <c r="S1" s="1" t="s">
        <v>261</v>
      </c>
      <c r="T1" s="6" t="s">
        <v>0</v>
      </c>
      <c r="U1" s="1" t="s">
        <v>262</v>
      </c>
      <c r="W1" s="1" t="s">
        <v>5</v>
      </c>
      <c r="X1" s="1" t="s">
        <v>241</v>
      </c>
      <c r="Y1" s="1" t="s">
        <v>238</v>
      </c>
      <c r="Z1" s="1" t="s">
        <v>263</v>
      </c>
      <c r="AB1" s="1" t="s">
        <v>123</v>
      </c>
      <c r="AD1" s="1" t="s">
        <v>111</v>
      </c>
    </row>
    <row r="2" s="1" customFormat="1" ht="15" spans="1:30">
      <c r="A2" s="1" t="s">
        <v>264</v>
      </c>
      <c r="B2" s="1" t="s">
        <v>264</v>
      </c>
      <c r="C2" s="1" t="s">
        <v>264</v>
      </c>
      <c r="D2" s="1" t="s">
        <v>264</v>
      </c>
      <c r="E2" s="1" t="s">
        <v>264</v>
      </c>
      <c r="F2" s="1" t="s">
        <v>264</v>
      </c>
      <c r="H2" s="1" t="s">
        <v>264</v>
      </c>
      <c r="I2" s="1" t="s">
        <v>264</v>
      </c>
      <c r="J2" s="1" t="s">
        <v>264</v>
      </c>
      <c r="K2" s="1" t="s">
        <v>264</v>
      </c>
      <c r="L2" s="1" t="s">
        <v>264</v>
      </c>
      <c r="N2" s="1" t="s">
        <v>264</v>
      </c>
      <c r="O2" s="1" t="s">
        <v>264</v>
      </c>
      <c r="P2" s="1" t="s">
        <v>264</v>
      </c>
      <c r="Q2" s="1" t="s">
        <v>264</v>
      </c>
      <c r="S2" s="1" t="s">
        <v>264</v>
      </c>
      <c r="T2" s="6" t="s">
        <v>264</v>
      </c>
      <c r="U2" s="1" t="s">
        <v>264</v>
      </c>
      <c r="W2" s="1" t="s">
        <v>264</v>
      </c>
      <c r="X2" s="1" t="s">
        <v>264</v>
      </c>
      <c r="Y2" s="1" t="s">
        <v>264</v>
      </c>
      <c r="Z2" s="1" t="s">
        <v>264</v>
      </c>
      <c r="AB2" s="1" t="s">
        <v>264</v>
      </c>
      <c r="AD2" s="1" t="s">
        <v>264</v>
      </c>
    </row>
    <row r="3" spans="1:30">
      <c r="A3" s="2" t="s">
        <v>265</v>
      </c>
      <c r="B3" s="2" t="s">
        <v>265</v>
      </c>
      <c r="C3" s="2" t="s">
        <v>265</v>
      </c>
      <c r="D3" s="2" t="s">
        <v>265</v>
      </c>
      <c r="E3" s="2" t="s">
        <v>265</v>
      </c>
      <c r="F3" s="2" t="s">
        <v>265</v>
      </c>
      <c r="H3" s="2" t="s">
        <v>266</v>
      </c>
      <c r="I3" s="2" t="s">
        <v>266</v>
      </c>
      <c r="J3" s="2" t="s">
        <v>266</v>
      </c>
      <c r="K3" s="2" t="s">
        <v>266</v>
      </c>
      <c r="L3" s="2" t="s">
        <v>266</v>
      </c>
      <c r="N3" s="2" t="s">
        <v>266</v>
      </c>
      <c r="O3" s="2" t="s">
        <v>266</v>
      </c>
      <c r="P3" s="2" t="s">
        <v>266</v>
      </c>
      <c r="Q3" s="2" t="s">
        <v>266</v>
      </c>
      <c r="S3" s="2" t="s">
        <v>265</v>
      </c>
      <c r="T3" s="3" t="s">
        <v>266</v>
      </c>
      <c r="U3" s="2" t="s">
        <v>265</v>
      </c>
      <c r="W3" s="2" t="s">
        <v>267</v>
      </c>
      <c r="X3" s="2" t="s">
        <v>265</v>
      </c>
      <c r="Y3" s="2" t="s">
        <v>267</v>
      </c>
      <c r="Z3" s="2" t="s">
        <v>267</v>
      </c>
      <c r="AB3" s="2" t="s">
        <v>267</v>
      </c>
      <c r="AD3" s="2" t="s">
        <v>266</v>
      </c>
    </row>
    <row r="4" spans="1:30">
      <c r="A4" s="2" t="s">
        <v>268</v>
      </c>
      <c r="B4" s="2" t="s">
        <v>268</v>
      </c>
      <c r="C4" s="2" t="s">
        <v>268</v>
      </c>
      <c r="D4" s="2" t="s">
        <v>268</v>
      </c>
      <c r="E4" s="2" t="s">
        <v>268</v>
      </c>
      <c r="F4" s="2" t="s">
        <v>268</v>
      </c>
      <c r="H4" s="2" t="s">
        <v>269</v>
      </c>
      <c r="I4" s="2" t="s">
        <v>269</v>
      </c>
      <c r="J4" s="2" t="s">
        <v>269</v>
      </c>
      <c r="K4" s="2" t="s">
        <v>269</v>
      </c>
      <c r="L4" s="2" t="s">
        <v>269</v>
      </c>
      <c r="N4" s="2" t="s">
        <v>269</v>
      </c>
      <c r="O4" s="2" t="s">
        <v>269</v>
      </c>
      <c r="P4" s="2" t="s">
        <v>269</v>
      </c>
      <c r="Q4" s="2" t="s">
        <v>269</v>
      </c>
      <c r="S4" s="2" t="s">
        <v>269</v>
      </c>
      <c r="T4" s="3" t="s">
        <v>269</v>
      </c>
      <c r="U4" s="2" t="s">
        <v>268</v>
      </c>
      <c r="W4" s="2" t="s">
        <v>268</v>
      </c>
      <c r="X4" s="2" t="s">
        <v>268</v>
      </c>
      <c r="Y4" s="2" t="s">
        <v>268</v>
      </c>
      <c r="Z4" s="2" t="s">
        <v>268</v>
      </c>
      <c r="AB4" s="2" t="s">
        <v>270</v>
      </c>
      <c r="AD4" s="2" t="s">
        <v>271</v>
      </c>
    </row>
    <row r="5" spans="1:28">
      <c r="A5" s="2" t="s">
        <v>272</v>
      </c>
      <c r="B5" s="2" t="s">
        <v>272</v>
      </c>
      <c r="C5" s="2" t="s">
        <v>272</v>
      </c>
      <c r="D5" s="2" t="s">
        <v>272</v>
      </c>
      <c r="E5" s="2" t="s">
        <v>272</v>
      </c>
      <c r="F5" s="2" t="s">
        <v>272</v>
      </c>
      <c r="H5" s="2" t="s">
        <v>273</v>
      </c>
      <c r="I5" s="2" t="s">
        <v>273</v>
      </c>
      <c r="J5" s="2" t="s">
        <v>273</v>
      </c>
      <c r="K5" s="2" t="s">
        <v>273</v>
      </c>
      <c r="L5" s="2" t="s">
        <v>273</v>
      </c>
      <c r="N5" s="2" t="s">
        <v>273</v>
      </c>
      <c r="O5" s="2" t="s">
        <v>273</v>
      </c>
      <c r="P5" s="2" t="s">
        <v>273</v>
      </c>
      <c r="Q5" s="2" t="s">
        <v>273</v>
      </c>
      <c r="S5" s="2" t="s">
        <v>273</v>
      </c>
      <c r="T5" s="3" t="s">
        <v>273</v>
      </c>
      <c r="U5" s="2" t="s">
        <v>273</v>
      </c>
      <c r="W5" s="2" t="s">
        <v>272</v>
      </c>
      <c r="X5" s="2" t="s">
        <v>273</v>
      </c>
      <c r="Y5" s="2" t="s">
        <v>272</v>
      </c>
      <c r="Z5" s="2" t="s">
        <v>272</v>
      </c>
      <c r="AB5" s="2" t="s">
        <v>271</v>
      </c>
    </row>
    <row r="6" spans="1:28">
      <c r="A6" s="2" t="s">
        <v>274</v>
      </c>
      <c r="B6" s="2" t="s">
        <v>274</v>
      </c>
      <c r="C6" s="2" t="s">
        <v>274</v>
      </c>
      <c r="D6" s="2" t="s">
        <v>274</v>
      </c>
      <c r="E6" s="2" t="s">
        <v>274</v>
      </c>
      <c r="F6" s="2" t="s">
        <v>274</v>
      </c>
      <c r="H6" s="2" t="s">
        <v>275</v>
      </c>
      <c r="I6" s="2" t="s">
        <v>275</v>
      </c>
      <c r="J6" s="2" t="s">
        <v>275</v>
      </c>
      <c r="K6" s="2" t="s">
        <v>275</v>
      </c>
      <c r="L6" s="2" t="s">
        <v>275</v>
      </c>
      <c r="N6" s="2" t="s">
        <v>275</v>
      </c>
      <c r="O6" s="2" t="s">
        <v>275</v>
      </c>
      <c r="P6" s="2" t="s">
        <v>275</v>
      </c>
      <c r="Q6" s="2" t="s">
        <v>275</v>
      </c>
      <c r="S6" s="2" t="s">
        <v>275</v>
      </c>
      <c r="T6" s="3" t="s">
        <v>275</v>
      </c>
      <c r="U6" s="2" t="s">
        <v>274</v>
      </c>
      <c r="W6" s="2" t="s">
        <v>274</v>
      </c>
      <c r="X6" s="2" t="s">
        <v>274</v>
      </c>
      <c r="Y6" s="2" t="s">
        <v>274</v>
      </c>
      <c r="Z6" s="2" t="s">
        <v>274</v>
      </c>
      <c r="AB6" s="2" t="s">
        <v>274</v>
      </c>
    </row>
    <row r="7" spans="2:24">
      <c r="B7" s="2" t="s">
        <v>276</v>
      </c>
      <c r="D7" s="2" t="s">
        <v>276</v>
      </c>
      <c r="E7" s="2" t="s">
        <v>276</v>
      </c>
      <c r="H7" s="2" t="s">
        <v>276</v>
      </c>
      <c r="J7" s="2" t="s">
        <v>276</v>
      </c>
      <c r="K7" s="2" t="s">
        <v>276</v>
      </c>
      <c r="L7" s="2" t="s">
        <v>276</v>
      </c>
      <c r="N7" s="2" t="s">
        <v>276</v>
      </c>
      <c r="T7" s="3" t="s">
        <v>276</v>
      </c>
      <c r="U7" s="2" t="s">
        <v>276</v>
      </c>
      <c r="X7" s="2" t="s">
        <v>276</v>
      </c>
    </row>
    <row r="8" spans="2:24">
      <c r="B8" s="2" t="s">
        <v>277</v>
      </c>
      <c r="D8" s="2" t="s">
        <v>278</v>
      </c>
      <c r="E8" s="2" t="s">
        <v>278</v>
      </c>
      <c r="H8" s="2" t="s">
        <v>278</v>
      </c>
      <c r="J8" s="2" t="s">
        <v>278</v>
      </c>
      <c r="K8" s="2" t="s">
        <v>278</v>
      </c>
      <c r="L8" s="2" t="s">
        <v>278</v>
      </c>
      <c r="N8" s="2" t="s">
        <v>278</v>
      </c>
      <c r="T8" s="3" t="s">
        <v>278</v>
      </c>
      <c r="U8" s="2" t="s">
        <v>278</v>
      </c>
      <c r="X8" s="2" t="s">
        <v>278</v>
      </c>
    </row>
    <row r="9" spans="2:24">
      <c r="B9" s="2" t="s">
        <v>279</v>
      </c>
      <c r="D9" s="2" t="s">
        <v>279</v>
      </c>
      <c r="E9" s="2" t="s">
        <v>279</v>
      </c>
      <c r="H9" s="2" t="s">
        <v>279</v>
      </c>
      <c r="J9" s="2" t="s">
        <v>279</v>
      </c>
      <c r="K9" s="2" t="s">
        <v>279</v>
      </c>
      <c r="L9" s="2" t="s">
        <v>279</v>
      </c>
      <c r="N9" s="2" t="s">
        <v>279</v>
      </c>
      <c r="T9" s="3" t="s">
        <v>279</v>
      </c>
      <c r="U9" s="2" t="s">
        <v>279</v>
      </c>
      <c r="X9" s="2" t="s">
        <v>279</v>
      </c>
    </row>
    <row r="10" spans="2:24">
      <c r="B10" s="2" t="s">
        <v>280</v>
      </c>
      <c r="D10" s="2" t="s">
        <v>280</v>
      </c>
      <c r="E10" s="2" t="s">
        <v>280</v>
      </c>
      <c r="H10" s="2" t="s">
        <v>280</v>
      </c>
      <c r="J10" s="2" t="s">
        <v>280</v>
      </c>
      <c r="K10" s="2" t="s">
        <v>280</v>
      </c>
      <c r="L10" s="2" t="s">
        <v>280</v>
      </c>
      <c r="N10" s="2" t="s">
        <v>281</v>
      </c>
      <c r="T10" s="3" t="s">
        <v>280</v>
      </c>
      <c r="U10" s="2" t="s">
        <v>282</v>
      </c>
      <c r="X10" s="2" t="s">
        <v>280</v>
      </c>
    </row>
    <row r="11" spans="2:24">
      <c r="B11" s="2" t="s">
        <v>283</v>
      </c>
      <c r="D11" s="2" t="s">
        <v>283</v>
      </c>
      <c r="E11" s="2" t="s">
        <v>283</v>
      </c>
      <c r="H11" s="2" t="s">
        <v>283</v>
      </c>
      <c r="J11" s="2" t="s">
        <v>283</v>
      </c>
      <c r="K11" s="2" t="s">
        <v>283</v>
      </c>
      <c r="L11" s="2" t="s">
        <v>283</v>
      </c>
      <c r="N11" s="2" t="s">
        <v>283</v>
      </c>
      <c r="T11" s="3" t="s">
        <v>283</v>
      </c>
      <c r="U11" s="2" t="s">
        <v>283</v>
      </c>
      <c r="X11" s="2" t="s">
        <v>283</v>
      </c>
    </row>
    <row r="12" ht="15" spans="1:30">
      <c r="A12" s="1" t="s">
        <v>284</v>
      </c>
      <c r="B12" s="1" t="s">
        <v>284</v>
      </c>
      <c r="C12" s="1" t="s">
        <v>284</v>
      </c>
      <c r="D12" s="1" t="s">
        <v>284</v>
      </c>
      <c r="E12" s="1" t="s">
        <v>284</v>
      </c>
      <c r="F12" s="1" t="s">
        <v>284</v>
      </c>
      <c r="G12" s="1"/>
      <c r="H12" s="1" t="s">
        <v>284</v>
      </c>
      <c r="I12" s="1" t="s">
        <v>284</v>
      </c>
      <c r="J12" s="1" t="s">
        <v>284</v>
      </c>
      <c r="K12" s="1" t="s">
        <v>284</v>
      </c>
      <c r="L12" s="1" t="s">
        <v>284</v>
      </c>
      <c r="M12" s="1"/>
      <c r="N12" s="1" t="s">
        <v>284</v>
      </c>
      <c r="O12" s="1" t="s">
        <v>284</v>
      </c>
      <c r="P12" s="1" t="s">
        <v>284</v>
      </c>
      <c r="Q12" s="1" t="s">
        <v>284</v>
      </c>
      <c r="R12" s="1"/>
      <c r="S12" s="1" t="s">
        <v>284</v>
      </c>
      <c r="T12" s="6" t="s">
        <v>284</v>
      </c>
      <c r="U12" s="1" t="s">
        <v>284</v>
      </c>
      <c r="V12" s="1"/>
      <c r="W12" s="1" t="s">
        <v>284</v>
      </c>
      <c r="X12" s="1" t="s">
        <v>284</v>
      </c>
      <c r="Y12" s="1" t="s">
        <v>284</v>
      </c>
      <c r="Z12" s="1" t="s">
        <v>284</v>
      </c>
      <c r="AB12" s="1" t="s">
        <v>284</v>
      </c>
      <c r="AC12" s="1"/>
      <c r="AD12" s="1" t="s">
        <v>284</v>
      </c>
    </row>
    <row r="13" spans="1:30">
      <c r="A13" s="2" t="s">
        <v>285</v>
      </c>
      <c r="B13" s="2" t="s">
        <v>286</v>
      </c>
      <c r="C13" s="2" t="s">
        <v>287</v>
      </c>
      <c r="D13" s="2" t="s">
        <v>287</v>
      </c>
      <c r="E13" s="2" t="s">
        <v>286</v>
      </c>
      <c r="F13" s="2" t="s">
        <v>286</v>
      </c>
      <c r="H13" s="2" t="s">
        <v>288</v>
      </c>
      <c r="I13" s="2" t="s">
        <v>288</v>
      </c>
      <c r="J13" s="2" t="s">
        <v>289</v>
      </c>
      <c r="K13" s="2" t="s">
        <v>290</v>
      </c>
      <c r="L13" s="2" t="s">
        <v>291</v>
      </c>
      <c r="N13" s="2" t="s">
        <v>288</v>
      </c>
      <c r="O13" s="2" t="s">
        <v>291</v>
      </c>
      <c r="P13" s="2" t="s">
        <v>288</v>
      </c>
      <c r="Q13" s="2" t="s">
        <v>292</v>
      </c>
      <c r="S13" s="2" t="s">
        <v>293</v>
      </c>
      <c r="T13" s="3" t="s">
        <v>292</v>
      </c>
      <c r="U13" s="2" t="s">
        <v>294</v>
      </c>
      <c r="W13" s="2" t="s">
        <v>286</v>
      </c>
      <c r="X13" s="2" t="s">
        <v>287</v>
      </c>
      <c r="Y13" s="2" t="s">
        <v>287</v>
      </c>
      <c r="Z13" s="2" t="s">
        <v>286</v>
      </c>
      <c r="AB13" s="2" t="s">
        <v>295</v>
      </c>
      <c r="AD13" s="2" t="s">
        <v>296</v>
      </c>
    </row>
    <row r="14" spans="1:30">
      <c r="A14" s="2" t="s">
        <v>297</v>
      </c>
      <c r="B14" s="2" t="s">
        <v>297</v>
      </c>
      <c r="C14" s="2" t="s">
        <v>297</v>
      </c>
      <c r="D14" s="2" t="s">
        <v>297</v>
      </c>
      <c r="E14" s="2" t="s">
        <v>297</v>
      </c>
      <c r="F14" s="2" t="s">
        <v>297</v>
      </c>
      <c r="H14" s="2" t="s">
        <v>297</v>
      </c>
      <c r="I14" s="2" t="s">
        <v>297</v>
      </c>
      <c r="J14" s="2" t="s">
        <v>297</v>
      </c>
      <c r="K14" s="2" t="s">
        <v>297</v>
      </c>
      <c r="L14" s="2" t="s">
        <v>297</v>
      </c>
      <c r="N14" s="2" t="s">
        <v>297</v>
      </c>
      <c r="O14" s="2" t="s">
        <v>297</v>
      </c>
      <c r="P14" s="2" t="s">
        <v>297</v>
      </c>
      <c r="Q14" s="2" t="s">
        <v>297</v>
      </c>
      <c r="S14" s="2" t="s">
        <v>297</v>
      </c>
      <c r="T14" s="3" t="s">
        <v>297</v>
      </c>
      <c r="U14" s="2" t="s">
        <v>297</v>
      </c>
      <c r="W14" s="2" t="s">
        <v>297</v>
      </c>
      <c r="X14" s="2" t="s">
        <v>297</v>
      </c>
      <c r="Y14" s="2" t="s">
        <v>297</v>
      </c>
      <c r="Z14" s="2" t="s">
        <v>297</v>
      </c>
      <c r="AB14" s="2" t="s">
        <v>297</v>
      </c>
      <c r="AD14" s="2" t="s">
        <v>298</v>
      </c>
    </row>
    <row r="15" spans="1:30">
      <c r="A15" s="2" t="s">
        <v>299</v>
      </c>
      <c r="B15" s="2" t="s">
        <v>299</v>
      </c>
      <c r="C15" s="2" t="s">
        <v>299</v>
      </c>
      <c r="D15" s="2" t="s">
        <v>299</v>
      </c>
      <c r="E15" s="2" t="s">
        <v>299</v>
      </c>
      <c r="F15" s="2" t="s">
        <v>299</v>
      </c>
      <c r="H15" s="2" t="s">
        <v>300</v>
      </c>
      <c r="I15" s="2" t="s">
        <v>301</v>
      </c>
      <c r="J15" s="2" t="s">
        <v>302</v>
      </c>
      <c r="K15" s="2" t="s">
        <v>303</v>
      </c>
      <c r="L15" s="2" t="s">
        <v>304</v>
      </c>
      <c r="N15" s="2" t="s">
        <v>300</v>
      </c>
      <c r="O15" s="2" t="s">
        <v>302</v>
      </c>
      <c r="P15" s="2" t="s">
        <v>301</v>
      </c>
      <c r="Q15" s="2" t="s">
        <v>301</v>
      </c>
      <c r="S15" s="2" t="s">
        <v>305</v>
      </c>
      <c r="T15" s="3" t="s">
        <v>299</v>
      </c>
      <c r="U15" s="2" t="s">
        <v>301</v>
      </c>
      <c r="W15" s="2" t="s">
        <v>299</v>
      </c>
      <c r="X15" s="2" t="s">
        <v>299</v>
      </c>
      <c r="Y15" s="2" t="s">
        <v>299</v>
      </c>
      <c r="Z15" s="2" t="s">
        <v>299</v>
      </c>
      <c r="AB15" s="2" t="s">
        <v>306</v>
      </c>
      <c r="AD15" s="2" t="s">
        <v>307</v>
      </c>
    </row>
    <row r="16" spans="1:29">
      <c r="A16" s="4" t="s">
        <v>308</v>
      </c>
      <c r="B16" s="4" t="s">
        <v>308</v>
      </c>
      <c r="C16" s="4" t="s">
        <v>308</v>
      </c>
      <c r="D16" s="2" t="s">
        <v>308</v>
      </c>
      <c r="E16" s="4" t="s">
        <v>308</v>
      </c>
      <c r="F16" s="4" t="s">
        <v>308</v>
      </c>
      <c r="H16" s="2" t="s">
        <v>309</v>
      </c>
      <c r="I16" s="2" t="s">
        <v>310</v>
      </c>
      <c r="J16" s="2" t="s">
        <v>310</v>
      </c>
      <c r="K16" s="2" t="s">
        <v>310</v>
      </c>
      <c r="L16" s="2" t="s">
        <v>309</v>
      </c>
      <c r="N16" s="2" t="s">
        <v>311</v>
      </c>
      <c r="O16" s="2" t="s">
        <v>311</v>
      </c>
      <c r="P16" s="2" t="s">
        <v>311</v>
      </c>
      <c r="Q16" s="2" t="s">
        <v>312</v>
      </c>
      <c r="S16" s="2" t="s">
        <v>313</v>
      </c>
      <c r="T16" s="3" t="s">
        <v>314</v>
      </c>
      <c r="U16" s="2" t="s">
        <v>315</v>
      </c>
      <c r="W16" s="4" t="s">
        <v>308</v>
      </c>
      <c r="X16" s="4" t="s">
        <v>308</v>
      </c>
      <c r="Y16" s="4" t="s">
        <v>308</v>
      </c>
      <c r="Z16" s="4" t="s">
        <v>308</v>
      </c>
      <c r="AB16" s="4" t="s">
        <v>316</v>
      </c>
      <c r="AC16" s="4"/>
    </row>
    <row r="17" spans="1:28">
      <c r="A17" s="2" t="s">
        <v>298</v>
      </c>
      <c r="B17" s="5" t="s">
        <v>317</v>
      </c>
      <c r="C17" s="2" t="s">
        <v>298</v>
      </c>
      <c r="D17" s="5" t="s">
        <v>317</v>
      </c>
      <c r="E17" s="5" t="s">
        <v>317</v>
      </c>
      <c r="F17" s="5" t="s">
        <v>317</v>
      </c>
      <c r="H17" s="2" t="s">
        <v>298</v>
      </c>
      <c r="I17" s="2" t="s">
        <v>298</v>
      </c>
      <c r="J17" s="2" t="s">
        <v>298</v>
      </c>
      <c r="K17" s="2" t="s">
        <v>298</v>
      </c>
      <c r="L17" s="2" t="s">
        <v>298</v>
      </c>
      <c r="N17" s="2" t="s">
        <v>298</v>
      </c>
      <c r="O17" s="2" t="s">
        <v>298</v>
      </c>
      <c r="P17" s="2" t="s">
        <v>298</v>
      </c>
      <c r="Q17" s="2" t="s">
        <v>298</v>
      </c>
      <c r="S17" s="2" t="s">
        <v>298</v>
      </c>
      <c r="T17" s="3" t="s">
        <v>298</v>
      </c>
      <c r="U17" s="2" t="s">
        <v>298</v>
      </c>
      <c r="W17" s="2" t="s">
        <v>298</v>
      </c>
      <c r="X17" s="2" t="s">
        <v>298</v>
      </c>
      <c r="Y17" s="2" t="s">
        <v>298</v>
      </c>
      <c r="Z17" s="2" t="s">
        <v>298</v>
      </c>
      <c r="AB17" s="2" t="s">
        <v>298</v>
      </c>
    </row>
    <row r="18" spans="1:28">
      <c r="A18" s="2" t="s">
        <v>318</v>
      </c>
      <c r="B18" s="2" t="s">
        <v>319</v>
      </c>
      <c r="C18" s="2" t="s">
        <v>320</v>
      </c>
      <c r="D18" s="2" t="s">
        <v>320</v>
      </c>
      <c r="E18" s="2" t="s">
        <v>319</v>
      </c>
      <c r="F18" s="2" t="s">
        <v>319</v>
      </c>
      <c r="H18" s="2" t="s">
        <v>321</v>
      </c>
      <c r="I18" s="2" t="s">
        <v>321</v>
      </c>
      <c r="J18" s="2" t="s">
        <v>322</v>
      </c>
      <c r="K18" s="2" t="s">
        <v>323</v>
      </c>
      <c r="L18" s="2" t="s">
        <v>324</v>
      </c>
      <c r="N18" s="2" t="s">
        <v>321</v>
      </c>
      <c r="O18" s="2" t="s">
        <v>324</v>
      </c>
      <c r="P18" s="2" t="s">
        <v>321</v>
      </c>
      <c r="Q18" s="2" t="s">
        <v>322</v>
      </c>
      <c r="S18" s="2" t="s">
        <v>325</v>
      </c>
      <c r="T18" s="3" t="s">
        <v>322</v>
      </c>
      <c r="U18" s="2" t="s">
        <v>326</v>
      </c>
      <c r="W18" s="2" t="s">
        <v>319</v>
      </c>
      <c r="X18" s="2" t="s">
        <v>320</v>
      </c>
      <c r="Y18" s="2" t="s">
        <v>320</v>
      </c>
      <c r="Z18" s="2" t="s">
        <v>319</v>
      </c>
      <c r="AB18" s="2" t="s">
        <v>327</v>
      </c>
    </row>
    <row r="19" ht="15" spans="1:30">
      <c r="A19" s="1" t="s">
        <v>328</v>
      </c>
      <c r="B19" s="1" t="s">
        <v>328</v>
      </c>
      <c r="C19" s="1" t="s">
        <v>328</v>
      </c>
      <c r="D19" s="1" t="s">
        <v>328</v>
      </c>
      <c r="E19" s="1" t="s">
        <v>328</v>
      </c>
      <c r="F19" s="1" t="s">
        <v>328</v>
      </c>
      <c r="G19" s="1"/>
      <c r="H19" s="1" t="s">
        <v>328</v>
      </c>
      <c r="I19" s="1" t="s">
        <v>328</v>
      </c>
      <c r="J19" s="1" t="s">
        <v>328</v>
      </c>
      <c r="K19" s="1" t="s">
        <v>328</v>
      </c>
      <c r="L19" s="1" t="s">
        <v>328</v>
      </c>
      <c r="M19" s="1"/>
      <c r="N19" s="1" t="s">
        <v>328</v>
      </c>
      <c r="O19" s="1" t="s">
        <v>328</v>
      </c>
      <c r="P19" s="1" t="s">
        <v>328</v>
      </c>
      <c r="Q19" s="1" t="s">
        <v>328</v>
      </c>
      <c r="R19" s="1"/>
      <c r="S19" s="1" t="s">
        <v>328</v>
      </c>
      <c r="T19" s="6" t="s">
        <v>328</v>
      </c>
      <c r="U19" s="1" t="s">
        <v>328</v>
      </c>
      <c r="V19" s="1"/>
      <c r="W19" s="1" t="s">
        <v>328</v>
      </c>
      <c r="X19" s="1" t="s">
        <v>328</v>
      </c>
      <c r="Y19" s="1" t="s">
        <v>328</v>
      </c>
      <c r="Z19" s="1" t="s">
        <v>328</v>
      </c>
      <c r="AB19" s="1" t="s">
        <v>328</v>
      </c>
      <c r="AC19" s="1"/>
      <c r="AD19" s="1" t="s">
        <v>328</v>
      </c>
    </row>
    <row r="20" spans="1:30">
      <c r="A20" s="2" t="s">
        <v>329</v>
      </c>
      <c r="B20" s="2" t="s">
        <v>330</v>
      </c>
      <c r="C20" s="2" t="s">
        <v>329</v>
      </c>
      <c r="D20" s="2" t="s">
        <v>331</v>
      </c>
      <c r="E20" s="2" t="s">
        <v>331</v>
      </c>
      <c r="F20" s="2" t="s">
        <v>331</v>
      </c>
      <c r="H20" s="2" t="s">
        <v>332</v>
      </c>
      <c r="I20" s="2" t="s">
        <v>333</v>
      </c>
      <c r="J20" s="2" t="s">
        <v>333</v>
      </c>
      <c r="K20" s="2" t="s">
        <v>333</v>
      </c>
      <c r="L20" s="2" t="s">
        <v>334</v>
      </c>
      <c r="N20" s="2" t="s">
        <v>335</v>
      </c>
      <c r="O20" s="2" t="s">
        <v>336</v>
      </c>
      <c r="P20" s="2" t="s">
        <v>335</v>
      </c>
      <c r="Q20" s="2" t="s">
        <v>337</v>
      </c>
      <c r="S20" s="2" t="s">
        <v>335</v>
      </c>
      <c r="T20" s="3" t="s">
        <v>331</v>
      </c>
      <c r="U20" s="2" t="s">
        <v>335</v>
      </c>
      <c r="W20" s="2" t="s">
        <v>329</v>
      </c>
      <c r="X20" s="2" t="s">
        <v>329</v>
      </c>
      <c r="Y20" s="2" t="s">
        <v>338</v>
      </c>
      <c r="Z20" s="5" t="s">
        <v>339</v>
      </c>
      <c r="AB20" s="2" t="s">
        <v>340</v>
      </c>
      <c r="AD20" s="2" t="s">
        <v>341</v>
      </c>
    </row>
    <row r="21" spans="1:30">
      <c r="A21" s="2" t="s">
        <v>342</v>
      </c>
      <c r="B21" s="2" t="s">
        <v>343</v>
      </c>
      <c r="C21" s="2" t="s">
        <v>342</v>
      </c>
      <c r="D21" s="2" t="s">
        <v>344</v>
      </c>
      <c r="E21" s="2" t="s">
        <v>344</v>
      </c>
      <c r="F21" s="2" t="s">
        <v>344</v>
      </c>
      <c r="H21" s="2" t="s">
        <v>345</v>
      </c>
      <c r="I21" s="2" t="s">
        <v>346</v>
      </c>
      <c r="J21" s="2" t="s">
        <v>346</v>
      </c>
      <c r="K21" s="2" t="s">
        <v>346</v>
      </c>
      <c r="L21" s="2" t="s">
        <v>347</v>
      </c>
      <c r="N21" s="2" t="s">
        <v>348</v>
      </c>
      <c r="O21" s="2" t="s">
        <v>349</v>
      </c>
      <c r="P21" s="2" t="s">
        <v>348</v>
      </c>
      <c r="Q21" s="2" t="s">
        <v>350</v>
      </c>
      <c r="S21" s="2" t="s">
        <v>348</v>
      </c>
      <c r="T21" s="3" t="s">
        <v>344</v>
      </c>
      <c r="U21" s="2" t="s">
        <v>348</v>
      </c>
      <c r="W21" s="2" t="s">
        <v>342</v>
      </c>
      <c r="X21" s="2" t="s">
        <v>342</v>
      </c>
      <c r="Y21" s="2" t="s">
        <v>351</v>
      </c>
      <c r="Z21" s="5" t="s">
        <v>352</v>
      </c>
      <c r="AB21" s="2" t="s">
        <v>353</v>
      </c>
      <c r="AD21" s="2" t="s">
        <v>354</v>
      </c>
    </row>
    <row r="22" spans="7:30">
      <c r="G22" s="5"/>
      <c r="N22" s="5" t="s">
        <v>355</v>
      </c>
      <c r="O22" s="5" t="s">
        <v>356</v>
      </c>
      <c r="P22" s="5" t="s">
        <v>357</v>
      </c>
      <c r="Q22" s="5" t="s">
        <v>358</v>
      </c>
      <c r="R22" s="5"/>
      <c r="T22" s="7" t="s">
        <v>359</v>
      </c>
      <c r="Y22" s="4" t="s">
        <v>360</v>
      </c>
      <c r="Z22" s="5" t="s">
        <v>361</v>
      </c>
      <c r="AD22" s="2" t="s">
        <v>362</v>
      </c>
    </row>
    <row r="23" spans="2:26">
      <c r="B23" s="2" t="s">
        <v>363</v>
      </c>
      <c r="D23" s="2" t="s">
        <v>363</v>
      </c>
      <c r="E23" s="2" t="s">
        <v>363</v>
      </c>
      <c r="G23" s="5"/>
      <c r="H23" s="2" t="s">
        <v>363</v>
      </c>
      <c r="K23" s="2" t="s">
        <v>363</v>
      </c>
      <c r="L23" s="2" t="s">
        <v>363</v>
      </c>
      <c r="N23" s="2" t="s">
        <v>363</v>
      </c>
      <c r="O23" s="5"/>
      <c r="P23" s="5"/>
      <c r="Q23" s="5"/>
      <c r="R23" s="5"/>
      <c r="T23" s="8" t="s">
        <v>363</v>
      </c>
      <c r="U23" s="2" t="s">
        <v>363</v>
      </c>
      <c r="X23" s="2" t="s">
        <v>363</v>
      </c>
      <c r="Y23" s="4"/>
      <c r="Z23" s="5"/>
    </row>
    <row r="24" ht="15" spans="1:30">
      <c r="A24" s="1" t="s">
        <v>364</v>
      </c>
      <c r="B24" s="1" t="s">
        <v>364</v>
      </c>
      <c r="C24" s="1" t="s">
        <v>364</v>
      </c>
      <c r="D24" s="1" t="s">
        <v>364</v>
      </c>
      <c r="E24" s="1" t="s">
        <v>364</v>
      </c>
      <c r="F24" s="1" t="s">
        <v>364</v>
      </c>
      <c r="G24" s="1"/>
      <c r="H24" s="1" t="s">
        <v>364</v>
      </c>
      <c r="I24" s="1" t="s">
        <v>364</v>
      </c>
      <c r="J24" s="1" t="s">
        <v>364</v>
      </c>
      <c r="K24" s="1" t="s">
        <v>364</v>
      </c>
      <c r="L24" s="1" t="s">
        <v>364</v>
      </c>
      <c r="M24" s="1"/>
      <c r="N24" s="1" t="s">
        <v>364</v>
      </c>
      <c r="O24" s="1" t="s">
        <v>364</v>
      </c>
      <c r="P24" s="1" t="s">
        <v>364</v>
      </c>
      <c r="Q24" s="1" t="s">
        <v>364</v>
      </c>
      <c r="R24" s="1"/>
      <c r="S24" s="1" t="s">
        <v>364</v>
      </c>
      <c r="T24" s="6" t="s">
        <v>364</v>
      </c>
      <c r="U24" s="1" t="s">
        <v>364</v>
      </c>
      <c r="V24" s="1"/>
      <c r="W24" s="1" t="s">
        <v>364</v>
      </c>
      <c r="X24" s="1" t="s">
        <v>364</v>
      </c>
      <c r="Y24" s="1" t="s">
        <v>364</v>
      </c>
      <c r="Z24" s="1" t="s">
        <v>364</v>
      </c>
      <c r="AB24" s="1" t="s">
        <v>364</v>
      </c>
      <c r="AC24" s="1"/>
      <c r="AD24" s="1" t="s">
        <v>364</v>
      </c>
    </row>
    <row r="25" spans="1:30">
      <c r="A25" s="5" t="s">
        <v>365</v>
      </c>
      <c r="B25" s="5" t="s">
        <v>366</v>
      </c>
      <c r="C25" s="5" t="s">
        <v>365</v>
      </c>
      <c r="D25" s="5" t="s">
        <v>367</v>
      </c>
      <c r="E25" s="5" t="s">
        <v>366</v>
      </c>
      <c r="F25" s="5" t="s">
        <v>366</v>
      </c>
      <c r="G25" s="5"/>
      <c r="H25" s="2" t="s">
        <v>368</v>
      </c>
      <c r="I25" s="2" t="s">
        <v>368</v>
      </c>
      <c r="J25" s="2" t="s">
        <v>368</v>
      </c>
      <c r="K25" s="2" t="s">
        <v>368</v>
      </c>
      <c r="L25" s="2" t="s">
        <v>368</v>
      </c>
      <c r="N25" s="5" t="s">
        <v>369</v>
      </c>
      <c r="O25" s="5" t="s">
        <v>369</v>
      </c>
      <c r="P25" s="5" t="s">
        <v>369</v>
      </c>
      <c r="Q25" s="5" t="s">
        <v>369</v>
      </c>
      <c r="R25" s="5"/>
      <c r="S25" s="5" t="s">
        <v>365</v>
      </c>
      <c r="T25" s="7" t="s">
        <v>369</v>
      </c>
      <c r="U25" s="2" t="s">
        <v>370</v>
      </c>
      <c r="W25" s="2" t="s">
        <v>368</v>
      </c>
      <c r="X25" s="5" t="s">
        <v>371</v>
      </c>
      <c r="Y25" s="2" t="s">
        <v>368</v>
      </c>
      <c r="Z25" s="2" t="s">
        <v>368</v>
      </c>
      <c r="AB25" s="4" t="s">
        <v>372</v>
      </c>
      <c r="AC25" s="4"/>
      <c r="AD25" s="2" t="s">
        <v>368</v>
      </c>
    </row>
    <row r="26" spans="1:30">
      <c r="A26" s="2" t="s">
        <v>373</v>
      </c>
      <c r="B26" s="2" t="s">
        <v>373</v>
      </c>
      <c r="C26" s="2" t="s">
        <v>373</v>
      </c>
      <c r="D26" s="2" t="s">
        <v>373</v>
      </c>
      <c r="E26" s="2" t="s">
        <v>373</v>
      </c>
      <c r="F26" s="2" t="s">
        <v>373</v>
      </c>
      <c r="H26" s="2" t="s">
        <v>374</v>
      </c>
      <c r="I26" s="2" t="s">
        <v>374</v>
      </c>
      <c r="J26" s="2" t="s">
        <v>374</v>
      </c>
      <c r="K26" s="2" t="s">
        <v>374</v>
      </c>
      <c r="L26" s="2" t="s">
        <v>374</v>
      </c>
      <c r="N26" s="2" t="s">
        <v>374</v>
      </c>
      <c r="O26" s="2" t="s">
        <v>374</v>
      </c>
      <c r="P26" s="2" t="s">
        <v>374</v>
      </c>
      <c r="Q26" s="2" t="s">
        <v>374</v>
      </c>
      <c r="S26" s="2" t="s">
        <v>374</v>
      </c>
      <c r="T26" s="3" t="s">
        <v>374</v>
      </c>
      <c r="U26" s="2" t="s">
        <v>374</v>
      </c>
      <c r="W26" s="2" t="s">
        <v>373</v>
      </c>
      <c r="X26" s="2" t="s">
        <v>373</v>
      </c>
      <c r="Y26" s="2" t="s">
        <v>373</v>
      </c>
      <c r="Z26" s="2" t="s">
        <v>373</v>
      </c>
      <c r="AB26" s="2" t="s">
        <v>375</v>
      </c>
      <c r="AD26" s="2" t="s">
        <v>374</v>
      </c>
    </row>
    <row r="27" spans="1:30">
      <c r="A27" s="2" t="s">
        <v>376</v>
      </c>
      <c r="B27" s="2" t="s">
        <v>376</v>
      </c>
      <c r="C27" s="2" t="s">
        <v>376</v>
      </c>
      <c r="D27" s="2" t="s">
        <v>376</v>
      </c>
      <c r="E27" s="2" t="s">
        <v>376</v>
      </c>
      <c r="F27" s="2" t="s">
        <v>376</v>
      </c>
      <c r="H27" s="2" t="s">
        <v>377</v>
      </c>
      <c r="I27" s="2" t="s">
        <v>377</v>
      </c>
      <c r="J27" s="2" t="s">
        <v>377</v>
      </c>
      <c r="K27" s="2" t="s">
        <v>377</v>
      </c>
      <c r="L27" s="2" t="s">
        <v>377</v>
      </c>
      <c r="N27" s="2" t="s">
        <v>377</v>
      </c>
      <c r="O27" s="2" t="s">
        <v>377</v>
      </c>
      <c r="P27" s="2" t="s">
        <v>377</v>
      </c>
      <c r="Q27" s="2" t="s">
        <v>377</v>
      </c>
      <c r="S27" s="2" t="s">
        <v>377</v>
      </c>
      <c r="T27" s="3" t="s">
        <v>377</v>
      </c>
      <c r="U27" s="2" t="s">
        <v>377</v>
      </c>
      <c r="W27" s="2" t="s">
        <v>376</v>
      </c>
      <c r="X27" s="2" t="s">
        <v>376</v>
      </c>
      <c r="Y27" s="2" t="s">
        <v>376</v>
      </c>
      <c r="Z27" s="2" t="s">
        <v>376</v>
      </c>
      <c r="AB27" s="2" t="s">
        <v>378</v>
      </c>
      <c r="AD27" s="2" t="s">
        <v>377</v>
      </c>
    </row>
    <row r="28" spans="1:30">
      <c r="A28" s="2" t="s">
        <v>379</v>
      </c>
      <c r="B28" s="2" t="s">
        <v>379</v>
      </c>
      <c r="C28" s="2" t="s">
        <v>379</v>
      </c>
      <c r="D28" s="2" t="s">
        <v>379</v>
      </c>
      <c r="E28" s="2" t="s">
        <v>379</v>
      </c>
      <c r="F28" s="2" t="s">
        <v>379</v>
      </c>
      <c r="H28" s="2" t="s">
        <v>380</v>
      </c>
      <c r="I28" s="2" t="s">
        <v>380</v>
      </c>
      <c r="J28" s="2" t="s">
        <v>380</v>
      </c>
      <c r="K28" s="2" t="s">
        <v>380</v>
      </c>
      <c r="L28" s="2" t="s">
        <v>380</v>
      </c>
      <c r="N28" s="2" t="s">
        <v>381</v>
      </c>
      <c r="O28" s="2" t="s">
        <v>381</v>
      </c>
      <c r="P28" s="2" t="s">
        <v>381</v>
      </c>
      <c r="Q28" s="2" t="s">
        <v>381</v>
      </c>
      <c r="S28" s="2" t="s">
        <v>381</v>
      </c>
      <c r="T28" s="3" t="s">
        <v>381</v>
      </c>
      <c r="U28" s="2" t="s">
        <v>381</v>
      </c>
      <c r="W28" s="2" t="s">
        <v>382</v>
      </c>
      <c r="X28" s="2" t="s">
        <v>379</v>
      </c>
      <c r="Y28" s="2" t="s">
        <v>383</v>
      </c>
      <c r="Z28" s="2" t="s">
        <v>383</v>
      </c>
      <c r="AB28" s="2" t="s">
        <v>384</v>
      </c>
      <c r="AD28" s="2" t="s">
        <v>380</v>
      </c>
    </row>
    <row r="29" spans="1:30">
      <c r="A29" s="2" t="s">
        <v>385</v>
      </c>
      <c r="B29" s="2" t="s">
        <v>386</v>
      </c>
      <c r="C29" s="2" t="s">
        <v>387</v>
      </c>
      <c r="D29" s="2" t="s">
        <v>388</v>
      </c>
      <c r="E29" s="2" t="s">
        <v>389</v>
      </c>
      <c r="F29" s="2" t="s">
        <v>390</v>
      </c>
      <c r="H29" s="2" t="s">
        <v>391</v>
      </c>
      <c r="I29" s="2" t="s">
        <v>392</v>
      </c>
      <c r="J29" s="2" t="s">
        <v>392</v>
      </c>
      <c r="K29" s="2" t="s">
        <v>393</v>
      </c>
      <c r="L29" s="2" t="s">
        <v>394</v>
      </c>
      <c r="N29" s="2" t="s">
        <v>395</v>
      </c>
      <c r="O29" s="2" t="s">
        <v>396</v>
      </c>
      <c r="P29" s="2" t="s">
        <v>397</v>
      </c>
      <c r="Q29" s="2" t="s">
        <v>396</v>
      </c>
      <c r="S29" s="2" t="s">
        <v>385</v>
      </c>
      <c r="T29" s="3" t="s">
        <v>398</v>
      </c>
      <c r="U29" s="2" t="s">
        <v>399</v>
      </c>
      <c r="W29" s="2" t="s">
        <v>390</v>
      </c>
      <c r="X29" s="2" t="s">
        <v>400</v>
      </c>
      <c r="Y29" s="2" t="s">
        <v>401</v>
      </c>
      <c r="Z29" s="2" t="s">
        <v>401</v>
      </c>
      <c r="AB29" s="2" t="s">
        <v>401</v>
      </c>
      <c r="AD29" s="2" t="s">
        <v>385</v>
      </c>
    </row>
    <row r="30" spans="2:24">
      <c r="B30" s="2" t="s">
        <v>402</v>
      </c>
      <c r="D30" s="2" t="s">
        <v>403</v>
      </c>
      <c r="E30" s="2" t="s">
        <v>404</v>
      </c>
      <c r="H30" s="2" t="s">
        <v>405</v>
      </c>
      <c r="K30" s="2" t="s">
        <v>406</v>
      </c>
      <c r="L30" s="2" t="s">
        <v>407</v>
      </c>
      <c r="N30" s="2" t="s">
        <v>408</v>
      </c>
      <c r="T30" s="3" t="s">
        <v>409</v>
      </c>
      <c r="U30" s="2" t="s">
        <v>410</v>
      </c>
      <c r="X30" s="2" t="s">
        <v>411</v>
      </c>
    </row>
    <row r="31" spans="2:24">
      <c r="B31" s="2" t="s">
        <v>412</v>
      </c>
      <c r="D31" s="2" t="s">
        <v>413</v>
      </c>
      <c r="E31" s="2" t="s">
        <v>414</v>
      </c>
      <c r="H31" s="2" t="s">
        <v>415</v>
      </c>
      <c r="K31" s="2" t="s">
        <v>416</v>
      </c>
      <c r="L31" s="2" t="s">
        <v>417</v>
      </c>
      <c r="N31" s="2" t="s">
        <v>418</v>
      </c>
      <c r="T31" s="3" t="s">
        <v>419</v>
      </c>
      <c r="U31" s="2" t="s">
        <v>420</v>
      </c>
      <c r="X31" s="2" t="s">
        <v>421</v>
      </c>
    </row>
    <row r="32" spans="2:24">
      <c r="B32" s="2" t="s">
        <v>422</v>
      </c>
      <c r="D32" s="2" t="s">
        <v>423</v>
      </c>
      <c r="E32" s="2" t="s">
        <v>424</v>
      </c>
      <c r="H32" s="2" t="s">
        <v>425</v>
      </c>
      <c r="K32" s="2" t="s">
        <v>426</v>
      </c>
      <c r="L32" s="2" t="s">
        <v>427</v>
      </c>
      <c r="N32" s="2" t="s">
        <v>428</v>
      </c>
      <c r="T32" s="3" t="s">
        <v>429</v>
      </c>
      <c r="U32" s="2" t="s">
        <v>430</v>
      </c>
      <c r="X32" s="2" t="s">
        <v>431</v>
      </c>
    </row>
    <row r="33" spans="2:24">
      <c r="B33" s="2" t="s">
        <v>432</v>
      </c>
      <c r="D33" s="2" t="s">
        <v>432</v>
      </c>
      <c r="E33" s="2" t="s">
        <v>432</v>
      </c>
      <c r="H33" s="2" t="s">
        <v>432</v>
      </c>
      <c r="K33" s="2" t="s">
        <v>432</v>
      </c>
      <c r="L33" s="2" t="s">
        <v>432</v>
      </c>
      <c r="N33" s="2" t="s">
        <v>432</v>
      </c>
      <c r="T33" s="3" t="s">
        <v>432</v>
      </c>
      <c r="U33" s="2" t="s">
        <v>432</v>
      </c>
      <c r="X33" s="2" t="s">
        <v>432</v>
      </c>
    </row>
    <row r="34" spans="2:24">
      <c r="B34" s="2" t="s">
        <v>433</v>
      </c>
      <c r="D34" s="2" t="s">
        <v>433</v>
      </c>
      <c r="E34" s="2" t="s">
        <v>433</v>
      </c>
      <c r="H34" s="2" t="s">
        <v>433</v>
      </c>
      <c r="K34" s="2" t="s">
        <v>433</v>
      </c>
      <c r="L34" s="2" t="s">
        <v>433</v>
      </c>
      <c r="N34" s="2" t="s">
        <v>433</v>
      </c>
      <c r="T34" s="3" t="s">
        <v>433</v>
      </c>
      <c r="U34" s="2" t="s">
        <v>433</v>
      </c>
      <c r="X34" s="2" t="s">
        <v>433</v>
      </c>
    </row>
    <row r="35" spans="2:24">
      <c r="B35" s="2" t="s">
        <v>434</v>
      </c>
      <c r="D35" s="2" t="s">
        <v>434</v>
      </c>
      <c r="E35" s="2" t="s">
        <v>434</v>
      </c>
      <c r="H35" s="2" t="s">
        <v>434</v>
      </c>
      <c r="K35" s="2" t="s">
        <v>434</v>
      </c>
      <c r="L35" s="2" t="s">
        <v>434</v>
      </c>
      <c r="N35" s="2" t="s">
        <v>434</v>
      </c>
      <c r="T35" s="3" t="s">
        <v>434</v>
      </c>
      <c r="U35" s="2" t="s">
        <v>434</v>
      </c>
      <c r="X35" s="2" t="s">
        <v>434</v>
      </c>
    </row>
    <row r="36" spans="2:24">
      <c r="B36" s="2" t="s">
        <v>435</v>
      </c>
      <c r="D36" s="2" t="s">
        <v>435</v>
      </c>
      <c r="E36" s="2" t="s">
        <v>435</v>
      </c>
      <c r="H36" s="2" t="s">
        <v>436</v>
      </c>
      <c r="K36" s="2" t="s">
        <v>436</v>
      </c>
      <c r="L36" s="2" t="s">
        <v>436</v>
      </c>
      <c r="N36" s="2" t="s">
        <v>436</v>
      </c>
      <c r="T36" s="3" t="s">
        <v>436</v>
      </c>
      <c r="U36" s="2" t="s">
        <v>436</v>
      </c>
      <c r="X36" s="2" t="s">
        <v>435</v>
      </c>
    </row>
    <row r="37" ht="15" spans="1:30">
      <c r="A37" s="1" t="s">
        <v>437</v>
      </c>
      <c r="B37" s="1" t="s">
        <v>437</v>
      </c>
      <c r="C37" s="1" t="s">
        <v>437</v>
      </c>
      <c r="D37" s="1" t="s">
        <v>437</v>
      </c>
      <c r="E37" s="1" t="s">
        <v>437</v>
      </c>
      <c r="F37" s="1" t="s">
        <v>437</v>
      </c>
      <c r="G37" s="1"/>
      <c r="H37" s="1" t="s">
        <v>437</v>
      </c>
      <c r="I37" s="1" t="s">
        <v>437</v>
      </c>
      <c r="J37" s="1" t="s">
        <v>437</v>
      </c>
      <c r="K37" s="1" t="s">
        <v>437</v>
      </c>
      <c r="L37" s="1" t="s">
        <v>437</v>
      </c>
      <c r="M37" s="1"/>
      <c r="N37" s="1" t="s">
        <v>437</v>
      </c>
      <c r="O37" s="1" t="s">
        <v>437</v>
      </c>
      <c r="P37" s="1" t="s">
        <v>437</v>
      </c>
      <c r="Q37" s="1" t="s">
        <v>437</v>
      </c>
      <c r="R37" s="1"/>
      <c r="S37" s="1" t="s">
        <v>437</v>
      </c>
      <c r="T37" s="6" t="s">
        <v>437</v>
      </c>
      <c r="U37" s="1" t="s">
        <v>437</v>
      </c>
      <c r="V37" s="1"/>
      <c r="W37" s="1" t="s">
        <v>437</v>
      </c>
      <c r="X37" s="1" t="s">
        <v>437</v>
      </c>
      <c r="Y37" s="1" t="s">
        <v>437</v>
      </c>
      <c r="Z37" s="1" t="s">
        <v>437</v>
      </c>
      <c r="AB37" s="1" t="s">
        <v>437</v>
      </c>
      <c r="AC37" s="1"/>
      <c r="AD37" s="1" t="s">
        <v>437</v>
      </c>
    </row>
    <row r="38" spans="1:30">
      <c r="A38" s="5" t="s">
        <v>438</v>
      </c>
      <c r="B38" s="5" t="s">
        <v>439</v>
      </c>
      <c r="C38" s="5" t="s">
        <v>440</v>
      </c>
      <c r="D38" s="5" t="s">
        <v>441</v>
      </c>
      <c r="E38" s="5" t="s">
        <v>442</v>
      </c>
      <c r="F38" s="5" t="s">
        <v>443</v>
      </c>
      <c r="G38" s="5"/>
      <c r="H38" s="2" t="s">
        <v>444</v>
      </c>
      <c r="I38" s="2" t="s">
        <v>445</v>
      </c>
      <c r="J38" s="2" t="s">
        <v>445</v>
      </c>
      <c r="K38" s="2" t="s">
        <v>445</v>
      </c>
      <c r="L38" s="2" t="s">
        <v>444</v>
      </c>
      <c r="N38" s="5" t="s">
        <v>446</v>
      </c>
      <c r="O38" s="5" t="s">
        <v>447</v>
      </c>
      <c r="P38" s="5" t="s">
        <v>447</v>
      </c>
      <c r="Q38" s="5" t="s">
        <v>448</v>
      </c>
      <c r="R38" s="5"/>
      <c r="S38" s="5" t="s">
        <v>449</v>
      </c>
      <c r="T38" s="7" t="s">
        <v>450</v>
      </c>
      <c r="U38" s="2" t="s">
        <v>451</v>
      </c>
      <c r="W38" s="5" t="s">
        <v>452</v>
      </c>
      <c r="X38" s="5" t="s">
        <v>453</v>
      </c>
      <c r="Y38" s="5" t="s">
        <v>454</v>
      </c>
      <c r="Z38" s="5" t="s">
        <v>455</v>
      </c>
      <c r="AB38" s="5" t="s">
        <v>456</v>
      </c>
      <c r="AC38" s="5"/>
      <c r="AD38" s="2" t="s">
        <v>457</v>
      </c>
    </row>
    <row r="39" spans="1:30">
      <c r="A39" s="2" t="s">
        <v>458</v>
      </c>
      <c r="B39" s="2" t="s">
        <v>459</v>
      </c>
      <c r="C39" s="2" t="s">
        <v>460</v>
      </c>
      <c r="D39" s="2" t="s">
        <v>461</v>
      </c>
      <c r="E39" s="2" t="s">
        <v>462</v>
      </c>
      <c r="F39" s="2" t="s">
        <v>458</v>
      </c>
      <c r="H39" s="2" t="s">
        <v>463</v>
      </c>
      <c r="I39" s="2" t="s">
        <v>464</v>
      </c>
      <c r="J39" s="2" t="s">
        <v>465</v>
      </c>
      <c r="K39" s="2" t="s">
        <v>466</v>
      </c>
      <c r="L39" s="2" t="s">
        <v>467</v>
      </c>
      <c r="N39" s="2" t="s">
        <v>468</v>
      </c>
      <c r="O39" s="2" t="s">
        <v>469</v>
      </c>
      <c r="P39" s="2" t="s">
        <v>469</v>
      </c>
      <c r="Q39" s="2" t="s">
        <v>465</v>
      </c>
      <c r="S39" s="2" t="s">
        <v>470</v>
      </c>
      <c r="T39" s="3" t="s">
        <v>471</v>
      </c>
      <c r="U39" s="2" t="s">
        <v>472</v>
      </c>
      <c r="W39" s="2" t="s">
        <v>458</v>
      </c>
      <c r="X39" s="2" t="s">
        <v>473</v>
      </c>
      <c r="Y39" s="2" t="s">
        <v>474</v>
      </c>
      <c r="Z39" s="2" t="s">
        <v>474</v>
      </c>
      <c r="AB39" s="2" t="s">
        <v>475</v>
      </c>
      <c r="AD39" s="2" t="s">
        <v>465</v>
      </c>
    </row>
    <row r="40" spans="1:30">
      <c r="A40" s="2" t="s">
        <v>476</v>
      </c>
      <c r="B40" s="2" t="s">
        <v>477</v>
      </c>
      <c r="C40" s="2" t="s">
        <v>478</v>
      </c>
      <c r="D40" s="2" t="s">
        <v>479</v>
      </c>
      <c r="E40" s="2" t="s">
        <v>480</v>
      </c>
      <c r="F40" s="2" t="s">
        <v>476</v>
      </c>
      <c r="H40" s="2" t="s">
        <v>481</v>
      </c>
      <c r="I40" s="2" t="s">
        <v>482</v>
      </c>
      <c r="J40" s="2" t="s">
        <v>483</v>
      </c>
      <c r="K40" s="2" t="s">
        <v>484</v>
      </c>
      <c r="L40" s="2" t="s">
        <v>485</v>
      </c>
      <c r="N40" s="2" t="s">
        <v>486</v>
      </c>
      <c r="O40" s="2" t="s">
        <v>487</v>
      </c>
      <c r="P40" s="2" t="s">
        <v>487</v>
      </c>
      <c r="Q40" s="2" t="s">
        <v>483</v>
      </c>
      <c r="S40" s="2" t="s">
        <v>483</v>
      </c>
      <c r="T40" s="3" t="s">
        <v>488</v>
      </c>
      <c r="U40" s="2" t="s">
        <v>489</v>
      </c>
      <c r="W40" s="2" t="s">
        <v>476</v>
      </c>
      <c r="X40" s="2" t="s">
        <v>490</v>
      </c>
      <c r="Y40" s="2" t="s">
        <v>491</v>
      </c>
      <c r="Z40" s="2" t="s">
        <v>491</v>
      </c>
      <c r="AB40" s="2" t="s">
        <v>492</v>
      </c>
      <c r="AD40" s="2" t="s">
        <v>483</v>
      </c>
    </row>
    <row r="41" spans="1:30">
      <c r="A41" s="2" t="s">
        <v>493</v>
      </c>
      <c r="B41" s="2" t="s">
        <v>494</v>
      </c>
      <c r="C41" s="2" t="s">
        <v>495</v>
      </c>
      <c r="D41" s="2" t="s">
        <v>496</v>
      </c>
      <c r="E41" s="2" t="s">
        <v>497</v>
      </c>
      <c r="F41" s="2" t="s">
        <v>493</v>
      </c>
      <c r="H41" s="2" t="s">
        <v>498</v>
      </c>
      <c r="I41" s="2" t="s">
        <v>499</v>
      </c>
      <c r="J41" s="2" t="s">
        <v>500</v>
      </c>
      <c r="K41" s="2" t="s">
        <v>501</v>
      </c>
      <c r="L41" s="2" t="s">
        <v>502</v>
      </c>
      <c r="N41" s="2" t="s">
        <v>503</v>
      </c>
      <c r="O41" s="2" t="s">
        <v>504</v>
      </c>
      <c r="P41" s="2" t="s">
        <v>504</v>
      </c>
      <c r="Q41" s="2" t="s">
        <v>500</v>
      </c>
      <c r="S41" s="2" t="s">
        <v>500</v>
      </c>
      <c r="T41" s="3" t="s">
        <v>505</v>
      </c>
      <c r="U41" s="2" t="s">
        <v>506</v>
      </c>
      <c r="W41" s="2" t="s">
        <v>493</v>
      </c>
      <c r="X41" s="2" t="s">
        <v>507</v>
      </c>
      <c r="Y41" s="2" t="s">
        <v>508</v>
      </c>
      <c r="Z41" s="2" t="s">
        <v>508</v>
      </c>
      <c r="AB41" s="2" t="s">
        <v>509</v>
      </c>
      <c r="AD41" s="2" t="s">
        <v>500</v>
      </c>
    </row>
    <row r="42" spans="1:30">
      <c r="A42" s="2" t="s">
        <v>510</v>
      </c>
      <c r="B42" s="2" t="s">
        <v>511</v>
      </c>
      <c r="C42" s="2" t="s">
        <v>510</v>
      </c>
      <c r="D42" s="2" t="s">
        <v>511</v>
      </c>
      <c r="E42" s="2" t="s">
        <v>511</v>
      </c>
      <c r="F42" s="2" t="s">
        <v>510</v>
      </c>
      <c r="H42" s="2" t="s">
        <v>511</v>
      </c>
      <c r="I42" s="2" t="s">
        <v>510</v>
      </c>
      <c r="J42" s="2" t="s">
        <v>510</v>
      </c>
      <c r="K42" s="2" t="s">
        <v>511</v>
      </c>
      <c r="L42" s="2" t="s">
        <v>511</v>
      </c>
      <c r="N42" s="2" t="s">
        <v>511</v>
      </c>
      <c r="O42" s="2" t="s">
        <v>510</v>
      </c>
      <c r="P42" s="2" t="s">
        <v>510</v>
      </c>
      <c r="Q42" s="2" t="s">
        <v>510</v>
      </c>
      <c r="S42" s="2" t="s">
        <v>510</v>
      </c>
      <c r="T42" s="3" t="s">
        <v>511</v>
      </c>
      <c r="U42" s="2" t="s">
        <v>511</v>
      </c>
      <c r="W42" s="2" t="s">
        <v>510</v>
      </c>
      <c r="X42" s="2" t="s">
        <v>511</v>
      </c>
      <c r="Y42" s="2" t="s">
        <v>510</v>
      </c>
      <c r="Z42" s="2" t="s">
        <v>510</v>
      </c>
      <c r="AB42" s="2" t="s">
        <v>510</v>
      </c>
      <c r="AD42" s="2" t="s">
        <v>510</v>
      </c>
    </row>
    <row r="43" spans="1:30">
      <c r="A43" s="2" t="s">
        <v>512</v>
      </c>
      <c r="B43" s="2" t="s">
        <v>513</v>
      </c>
      <c r="C43" s="2" t="s">
        <v>512</v>
      </c>
      <c r="D43" s="2" t="s">
        <v>513</v>
      </c>
      <c r="E43" s="2" t="s">
        <v>513</v>
      </c>
      <c r="F43" s="2" t="s">
        <v>512</v>
      </c>
      <c r="H43" s="2" t="s">
        <v>513</v>
      </c>
      <c r="I43" s="2" t="s">
        <v>512</v>
      </c>
      <c r="J43" s="2" t="s">
        <v>512</v>
      </c>
      <c r="K43" s="2" t="s">
        <v>513</v>
      </c>
      <c r="L43" s="2" t="s">
        <v>513</v>
      </c>
      <c r="N43" s="2" t="s">
        <v>513</v>
      </c>
      <c r="O43" s="2" t="s">
        <v>512</v>
      </c>
      <c r="P43" s="2" t="s">
        <v>512</v>
      </c>
      <c r="Q43" s="2" t="s">
        <v>512</v>
      </c>
      <c r="S43" s="2" t="s">
        <v>512</v>
      </c>
      <c r="T43" s="3" t="s">
        <v>513</v>
      </c>
      <c r="U43" s="2" t="s">
        <v>513</v>
      </c>
      <c r="W43" s="2" t="s">
        <v>512</v>
      </c>
      <c r="X43" s="2" t="s">
        <v>513</v>
      </c>
      <c r="Y43" s="2" t="s">
        <v>512</v>
      </c>
      <c r="Z43" s="2" t="s">
        <v>512</v>
      </c>
      <c r="AB43" s="2" t="s">
        <v>512</v>
      </c>
      <c r="AD43" s="2" t="s">
        <v>512</v>
      </c>
    </row>
    <row r="44" spans="1:30">
      <c r="A44" s="2" t="s">
        <v>514</v>
      </c>
      <c r="B44" s="2" t="s">
        <v>515</v>
      </c>
      <c r="C44" s="2" t="s">
        <v>514</v>
      </c>
      <c r="D44" s="2" t="s">
        <v>515</v>
      </c>
      <c r="E44" s="2" t="s">
        <v>515</v>
      </c>
      <c r="F44" s="2" t="s">
        <v>514</v>
      </c>
      <c r="H44" s="2" t="s">
        <v>515</v>
      </c>
      <c r="I44" s="2" t="s">
        <v>514</v>
      </c>
      <c r="J44" s="2" t="s">
        <v>514</v>
      </c>
      <c r="K44" s="2" t="s">
        <v>515</v>
      </c>
      <c r="L44" s="2" t="s">
        <v>515</v>
      </c>
      <c r="N44" s="2" t="s">
        <v>515</v>
      </c>
      <c r="O44" s="2" t="s">
        <v>514</v>
      </c>
      <c r="P44" s="2" t="s">
        <v>514</v>
      </c>
      <c r="Q44" s="2" t="s">
        <v>514</v>
      </c>
      <c r="S44" s="2" t="s">
        <v>514</v>
      </c>
      <c r="T44" s="3" t="s">
        <v>515</v>
      </c>
      <c r="U44" s="2" t="s">
        <v>515</v>
      </c>
      <c r="W44" s="2" t="s">
        <v>514</v>
      </c>
      <c r="X44" s="2" t="s">
        <v>515</v>
      </c>
      <c r="Y44" s="2" t="s">
        <v>514</v>
      </c>
      <c r="Z44" s="2" t="s">
        <v>514</v>
      </c>
      <c r="AB44" s="2" t="s">
        <v>514</v>
      </c>
      <c r="AD44" s="2" t="s">
        <v>514</v>
      </c>
    </row>
    <row r="45" spans="1:30">
      <c r="A45" s="2" t="s">
        <v>516</v>
      </c>
      <c r="B45" s="2" t="s">
        <v>517</v>
      </c>
      <c r="C45" s="2" t="s">
        <v>518</v>
      </c>
      <c r="D45" s="2" t="s">
        <v>519</v>
      </c>
      <c r="E45" s="2" t="s">
        <v>519</v>
      </c>
      <c r="F45" s="2" t="s">
        <v>516</v>
      </c>
      <c r="H45" s="2" t="s">
        <v>520</v>
      </c>
      <c r="I45" s="2" t="s">
        <v>516</v>
      </c>
      <c r="J45" s="2" t="s">
        <v>518</v>
      </c>
      <c r="K45" s="2" t="s">
        <v>519</v>
      </c>
      <c r="L45" s="2" t="s">
        <v>520</v>
      </c>
      <c r="N45" s="2" t="s">
        <v>517</v>
      </c>
      <c r="O45" s="2" t="s">
        <v>521</v>
      </c>
      <c r="P45" s="2" t="s">
        <v>521</v>
      </c>
      <c r="Q45" s="2" t="s">
        <v>518</v>
      </c>
      <c r="S45" s="2" t="s">
        <v>522</v>
      </c>
      <c r="T45" s="3" t="s">
        <v>519</v>
      </c>
      <c r="U45" s="2" t="s">
        <v>519</v>
      </c>
      <c r="W45" s="2" t="s">
        <v>518</v>
      </c>
      <c r="X45" s="2" t="s">
        <v>517</v>
      </c>
      <c r="Y45" s="2" t="s">
        <v>523</v>
      </c>
      <c r="Z45" s="2" t="s">
        <v>523</v>
      </c>
      <c r="AB45" s="2" t="s">
        <v>524</v>
      </c>
      <c r="AD45" s="2" t="s">
        <v>519</v>
      </c>
    </row>
    <row r="46" spans="1:30">
      <c r="A46" s="2" t="s">
        <v>525</v>
      </c>
      <c r="B46" s="2" t="s">
        <v>526</v>
      </c>
      <c r="C46" s="2" t="s">
        <v>525</v>
      </c>
      <c r="D46" s="2" t="s">
        <v>527</v>
      </c>
      <c r="E46" s="2" t="s">
        <v>528</v>
      </c>
      <c r="F46" s="2" t="s">
        <v>529</v>
      </c>
      <c r="H46" s="2" t="s">
        <v>530</v>
      </c>
      <c r="I46" s="2" t="s">
        <v>531</v>
      </c>
      <c r="J46" s="2" t="s">
        <v>531</v>
      </c>
      <c r="K46" s="2" t="s">
        <v>530</v>
      </c>
      <c r="L46" s="2" t="s">
        <v>530</v>
      </c>
      <c r="N46" s="2" t="s">
        <v>532</v>
      </c>
      <c r="O46" s="2" t="s">
        <v>533</v>
      </c>
      <c r="P46" s="2" t="s">
        <v>533</v>
      </c>
      <c r="Q46" s="2" t="s">
        <v>533</v>
      </c>
      <c r="S46" s="2" t="s">
        <v>533</v>
      </c>
      <c r="T46" s="3" t="s">
        <v>534</v>
      </c>
      <c r="U46" s="2" t="s">
        <v>535</v>
      </c>
      <c r="W46" s="2" t="s">
        <v>529</v>
      </c>
      <c r="X46" s="2" t="s">
        <v>536</v>
      </c>
      <c r="Y46" s="2" t="s">
        <v>529</v>
      </c>
      <c r="Z46" s="2" t="s">
        <v>529</v>
      </c>
      <c r="AB46" s="2" t="s">
        <v>537</v>
      </c>
      <c r="AD46" s="2" t="s">
        <v>533</v>
      </c>
    </row>
    <row r="47" spans="1:30">
      <c r="A47" s="2" t="s">
        <v>538</v>
      </c>
      <c r="B47" s="2" t="s">
        <v>539</v>
      </c>
      <c r="C47" s="2" t="s">
        <v>538</v>
      </c>
      <c r="D47" s="2" t="s">
        <v>540</v>
      </c>
      <c r="E47" s="2" t="s">
        <v>541</v>
      </c>
      <c r="F47" s="2" t="s">
        <v>542</v>
      </c>
      <c r="H47" s="2" t="s">
        <v>543</v>
      </c>
      <c r="I47" s="2" t="s">
        <v>544</v>
      </c>
      <c r="J47" s="2" t="s">
        <v>544</v>
      </c>
      <c r="K47" s="2" t="s">
        <v>543</v>
      </c>
      <c r="L47" s="2" t="s">
        <v>543</v>
      </c>
      <c r="N47" s="2" t="s">
        <v>545</v>
      </c>
      <c r="O47" s="2" t="s">
        <v>546</v>
      </c>
      <c r="P47" s="2" t="s">
        <v>546</v>
      </c>
      <c r="Q47" s="2" t="s">
        <v>546</v>
      </c>
      <c r="S47" s="2" t="s">
        <v>546</v>
      </c>
      <c r="T47" s="3" t="s">
        <v>547</v>
      </c>
      <c r="U47" s="2" t="s">
        <v>548</v>
      </c>
      <c r="W47" s="2" t="s">
        <v>542</v>
      </c>
      <c r="X47" s="2" t="s">
        <v>549</v>
      </c>
      <c r="Y47" s="2" t="s">
        <v>542</v>
      </c>
      <c r="Z47" s="2" t="s">
        <v>542</v>
      </c>
      <c r="AB47" s="2" t="s">
        <v>550</v>
      </c>
      <c r="AD47" s="2" t="s">
        <v>546</v>
      </c>
    </row>
    <row r="48" spans="1:30">
      <c r="A48" s="2" t="s">
        <v>551</v>
      </c>
      <c r="B48" s="2" t="s">
        <v>552</v>
      </c>
      <c r="C48" s="2" t="s">
        <v>553</v>
      </c>
      <c r="D48" s="2" t="s">
        <v>552</v>
      </c>
      <c r="E48" s="2" t="s">
        <v>552</v>
      </c>
      <c r="F48" s="2" t="s">
        <v>551</v>
      </c>
      <c r="H48" s="2" t="s">
        <v>552</v>
      </c>
      <c r="I48" s="2" t="s">
        <v>554</v>
      </c>
      <c r="J48" s="2" t="s">
        <v>555</v>
      </c>
      <c r="K48" s="2" t="s">
        <v>552</v>
      </c>
      <c r="L48" s="2" t="s">
        <v>552</v>
      </c>
      <c r="N48" s="2" t="s">
        <v>552</v>
      </c>
      <c r="O48" s="2" t="s">
        <v>556</v>
      </c>
      <c r="P48" s="2" t="s">
        <v>556</v>
      </c>
      <c r="Q48" s="2" t="s">
        <v>555</v>
      </c>
      <c r="S48" s="2" t="s">
        <v>555</v>
      </c>
      <c r="T48" s="3" t="s">
        <v>552</v>
      </c>
      <c r="U48" s="2" t="s">
        <v>552</v>
      </c>
      <c r="W48" s="2" t="s">
        <v>551</v>
      </c>
      <c r="X48" s="2" t="s">
        <v>552</v>
      </c>
      <c r="Y48" s="2" t="s">
        <v>552</v>
      </c>
      <c r="Z48" s="2" t="s">
        <v>552</v>
      </c>
      <c r="AB48" s="2" t="s">
        <v>557</v>
      </c>
      <c r="AD48" s="2" t="s">
        <v>555</v>
      </c>
    </row>
    <row r="49" spans="2:24">
      <c r="B49" s="2" t="s">
        <v>558</v>
      </c>
      <c r="D49" s="2" t="s">
        <v>558</v>
      </c>
      <c r="E49" s="2" t="s">
        <v>558</v>
      </c>
      <c r="H49" s="2" t="s">
        <v>558</v>
      </c>
      <c r="K49" s="2" t="s">
        <v>558</v>
      </c>
      <c r="L49" s="2" t="s">
        <v>558</v>
      </c>
      <c r="N49" s="2" t="s">
        <v>558</v>
      </c>
      <c r="T49" s="3" t="s">
        <v>558</v>
      </c>
      <c r="U49" s="2" t="s">
        <v>558</v>
      </c>
      <c r="X49" s="2" t="s">
        <v>558</v>
      </c>
    </row>
    <row r="50" spans="2:24">
      <c r="B50" s="2" t="s">
        <v>559</v>
      </c>
      <c r="D50" s="2" t="s">
        <v>559</v>
      </c>
      <c r="E50" s="2" t="s">
        <v>559</v>
      </c>
      <c r="H50" s="2" t="s">
        <v>559</v>
      </c>
      <c r="K50" s="2" t="s">
        <v>559</v>
      </c>
      <c r="L50" s="2" t="s">
        <v>559</v>
      </c>
      <c r="N50" s="2" t="s">
        <v>559</v>
      </c>
      <c r="T50" s="3" t="s">
        <v>559</v>
      </c>
      <c r="U50" s="2" t="s">
        <v>559</v>
      </c>
      <c r="X50" s="2" t="s">
        <v>559</v>
      </c>
    </row>
    <row r="51" ht="15" spans="1:30">
      <c r="A51" s="1" t="s">
        <v>560</v>
      </c>
      <c r="B51" s="1" t="s">
        <v>560</v>
      </c>
      <c r="C51" s="1" t="s">
        <v>560</v>
      </c>
      <c r="D51" s="1" t="s">
        <v>560</v>
      </c>
      <c r="E51" s="1" t="s">
        <v>560</v>
      </c>
      <c r="F51" s="1" t="s">
        <v>560</v>
      </c>
      <c r="H51" s="1" t="s">
        <v>560</v>
      </c>
      <c r="I51" s="1" t="s">
        <v>560</v>
      </c>
      <c r="J51" s="1" t="s">
        <v>560</v>
      </c>
      <c r="K51" s="1" t="s">
        <v>560</v>
      </c>
      <c r="L51" s="1" t="s">
        <v>560</v>
      </c>
      <c r="N51" s="1" t="s">
        <v>560</v>
      </c>
      <c r="O51" s="1" t="s">
        <v>560</v>
      </c>
      <c r="P51" s="1" t="s">
        <v>560</v>
      </c>
      <c r="Q51" s="1" t="s">
        <v>560</v>
      </c>
      <c r="S51" s="1" t="s">
        <v>560</v>
      </c>
      <c r="T51" s="6" t="s">
        <v>560</v>
      </c>
      <c r="U51" s="1" t="s">
        <v>560</v>
      </c>
      <c r="W51" s="1" t="s">
        <v>560</v>
      </c>
      <c r="X51" s="1" t="s">
        <v>560</v>
      </c>
      <c r="Y51" s="1" t="s">
        <v>560</v>
      </c>
      <c r="Z51" s="1" t="s">
        <v>560</v>
      </c>
      <c r="AB51" s="1" t="s">
        <v>560</v>
      </c>
      <c r="AD51" s="1" t="s">
        <v>560</v>
      </c>
    </row>
    <row r="52" spans="1:30">
      <c r="A52" s="1"/>
      <c r="B52" s="2" t="s">
        <v>561</v>
      </c>
      <c r="C52" s="1"/>
      <c r="D52" s="2" t="s">
        <v>562</v>
      </c>
      <c r="E52" s="2" t="s">
        <v>563</v>
      </c>
      <c r="F52" s="1"/>
      <c r="H52" s="2" t="s">
        <v>564</v>
      </c>
      <c r="I52" s="1"/>
      <c r="J52" s="1"/>
      <c r="K52" s="2" t="s">
        <v>565</v>
      </c>
      <c r="L52" s="2" t="s">
        <v>566</v>
      </c>
      <c r="N52" s="2" t="s">
        <v>567</v>
      </c>
      <c r="O52" s="1"/>
      <c r="P52" s="1"/>
      <c r="Q52" s="1"/>
      <c r="S52" s="1"/>
      <c r="T52" s="3" t="s">
        <v>568</v>
      </c>
      <c r="U52" s="2" t="s">
        <v>569</v>
      </c>
      <c r="W52" s="1"/>
      <c r="X52" s="2" t="s">
        <v>570</v>
      </c>
      <c r="Y52" s="1"/>
      <c r="Z52" s="1"/>
      <c r="AB52" s="1"/>
      <c r="AD52" s="1"/>
    </row>
    <row r="53" spans="1:30">
      <c r="A53" s="1"/>
      <c r="B53" s="2" t="s">
        <v>571</v>
      </c>
      <c r="C53" s="1"/>
      <c r="D53" s="2" t="s">
        <v>571</v>
      </c>
      <c r="E53" s="2" t="s">
        <v>571</v>
      </c>
      <c r="F53" s="1"/>
      <c r="H53" s="2" t="s">
        <v>571</v>
      </c>
      <c r="I53" s="1"/>
      <c r="J53" s="1"/>
      <c r="K53" s="2" t="s">
        <v>571</v>
      </c>
      <c r="L53" s="2" t="s">
        <v>571</v>
      </c>
      <c r="N53" s="2" t="s">
        <v>571</v>
      </c>
      <c r="O53" s="1"/>
      <c r="P53" s="1"/>
      <c r="Q53" s="1"/>
      <c r="S53" s="1"/>
      <c r="T53" s="3" t="s">
        <v>571</v>
      </c>
      <c r="U53" s="2" t="s">
        <v>571</v>
      </c>
      <c r="W53" s="1"/>
      <c r="X53" s="2" t="s">
        <v>571</v>
      </c>
      <c r="Y53" s="1"/>
      <c r="Z53" s="1"/>
      <c r="AB53" s="1"/>
      <c r="AD53" s="1"/>
    </row>
    <row r="54" spans="1:30">
      <c r="A54" s="1"/>
      <c r="B54" s="2" t="s">
        <v>572</v>
      </c>
      <c r="C54" s="1"/>
      <c r="D54" s="2" t="s">
        <v>573</v>
      </c>
      <c r="E54" s="2" t="s">
        <v>573</v>
      </c>
      <c r="F54" s="1"/>
      <c r="H54" s="2" t="s">
        <v>574</v>
      </c>
      <c r="I54" s="1"/>
      <c r="J54" s="1"/>
      <c r="K54" s="2" t="s">
        <v>573</v>
      </c>
      <c r="L54" s="2" t="s">
        <v>574</v>
      </c>
      <c r="N54" s="2" t="s">
        <v>572</v>
      </c>
      <c r="O54" s="1"/>
      <c r="P54" s="1"/>
      <c r="Q54" s="1"/>
      <c r="S54" s="1"/>
      <c r="T54" s="3" t="s">
        <v>573</v>
      </c>
      <c r="U54" s="2" t="s">
        <v>573</v>
      </c>
      <c r="W54" s="1"/>
      <c r="X54" s="2" t="s">
        <v>572</v>
      </c>
      <c r="Y54" s="1"/>
      <c r="Z54" s="1"/>
      <c r="AB54" s="1"/>
      <c r="AD54" s="1"/>
    </row>
    <row r="55" spans="1:30">
      <c r="A55" s="2" t="s">
        <v>575</v>
      </c>
      <c r="B55" s="2" t="s">
        <v>576</v>
      </c>
      <c r="C55" s="2" t="s">
        <v>577</v>
      </c>
      <c r="D55" s="2" t="s">
        <v>576</v>
      </c>
      <c r="E55" s="2" t="s">
        <v>576</v>
      </c>
      <c r="F55" s="2" t="s">
        <v>575</v>
      </c>
      <c r="H55" s="2" t="s">
        <v>576</v>
      </c>
      <c r="I55" s="2" t="s">
        <v>575</v>
      </c>
      <c r="J55" s="2" t="s">
        <v>577</v>
      </c>
      <c r="K55" s="2" t="s">
        <v>576</v>
      </c>
      <c r="L55" s="2" t="s">
        <v>576</v>
      </c>
      <c r="N55" s="2" t="s">
        <v>576</v>
      </c>
      <c r="O55" s="2" t="s">
        <v>578</v>
      </c>
      <c r="P55" s="2" t="s">
        <v>578</v>
      </c>
      <c r="Q55" s="2" t="s">
        <v>577</v>
      </c>
      <c r="S55" s="2" t="s">
        <v>579</v>
      </c>
      <c r="T55" s="3" t="s">
        <v>576</v>
      </c>
      <c r="U55" s="2" t="s">
        <v>576</v>
      </c>
      <c r="W55" s="2" t="s">
        <v>577</v>
      </c>
      <c r="X55" s="2" t="s">
        <v>576</v>
      </c>
      <c r="Y55" s="2" t="s">
        <v>580</v>
      </c>
      <c r="Z55" s="2" t="s">
        <v>580</v>
      </c>
      <c r="AB55" s="2" t="s">
        <v>581</v>
      </c>
      <c r="AD55" s="2" t="s">
        <v>576</v>
      </c>
    </row>
    <row r="56" spans="1:30">
      <c r="A56" s="2" t="s">
        <v>582</v>
      </c>
      <c r="B56" s="2" t="s">
        <v>583</v>
      </c>
      <c r="C56" s="2" t="s">
        <v>584</v>
      </c>
      <c r="D56" s="2" t="s">
        <v>585</v>
      </c>
      <c r="E56" s="2" t="s">
        <v>585</v>
      </c>
      <c r="F56" s="2" t="s">
        <v>582</v>
      </c>
      <c r="H56" s="2" t="s">
        <v>586</v>
      </c>
      <c r="I56" s="2" t="s">
        <v>582</v>
      </c>
      <c r="J56" s="2" t="s">
        <v>584</v>
      </c>
      <c r="K56" s="2" t="s">
        <v>585</v>
      </c>
      <c r="L56" s="2" t="s">
        <v>586</v>
      </c>
      <c r="N56" s="2" t="s">
        <v>583</v>
      </c>
      <c r="O56" s="2" t="s">
        <v>587</v>
      </c>
      <c r="P56" s="2" t="s">
        <v>587</v>
      </c>
      <c r="Q56" s="2" t="s">
        <v>584</v>
      </c>
      <c r="S56" s="2" t="s">
        <v>583</v>
      </c>
      <c r="T56" s="3" t="s">
        <v>585</v>
      </c>
      <c r="U56" s="2" t="s">
        <v>585</v>
      </c>
      <c r="W56" s="2" t="s">
        <v>584</v>
      </c>
      <c r="X56" s="2" t="s">
        <v>583</v>
      </c>
      <c r="Y56" s="2" t="s">
        <v>588</v>
      </c>
      <c r="Z56" s="2" t="s">
        <v>588</v>
      </c>
      <c r="AB56" s="2" t="s">
        <v>589</v>
      </c>
      <c r="AD56" s="2" t="s">
        <v>590</v>
      </c>
    </row>
    <row r="57" spans="2:24">
      <c r="B57" s="2" t="s">
        <v>591</v>
      </c>
      <c r="D57" s="2" t="s">
        <v>592</v>
      </c>
      <c r="E57" s="2" t="s">
        <v>592</v>
      </c>
      <c r="H57" s="2" t="s">
        <v>593</v>
      </c>
      <c r="K57" s="2" t="s">
        <v>592</v>
      </c>
      <c r="L57" s="2" t="s">
        <v>593</v>
      </c>
      <c r="N57" s="2" t="s">
        <v>591</v>
      </c>
      <c r="T57" s="3" t="s">
        <v>592</v>
      </c>
      <c r="U57" s="2" t="s">
        <v>592</v>
      </c>
      <c r="X57" s="2" t="s">
        <v>591</v>
      </c>
    </row>
    <row r="58" spans="2:24">
      <c r="B58" s="2" t="s">
        <v>594</v>
      </c>
      <c r="D58" s="2" t="s">
        <v>595</v>
      </c>
      <c r="E58" s="2" t="s">
        <v>595</v>
      </c>
      <c r="H58" s="2" t="s">
        <v>596</v>
      </c>
      <c r="K58" s="2" t="s">
        <v>595</v>
      </c>
      <c r="L58" s="2" t="s">
        <v>596</v>
      </c>
      <c r="N58" s="2" t="s">
        <v>594</v>
      </c>
      <c r="T58" s="3" t="s">
        <v>595</v>
      </c>
      <c r="U58" s="2" t="s">
        <v>595</v>
      </c>
      <c r="X58" s="2" t="s">
        <v>594</v>
      </c>
    </row>
    <row r="59" spans="2:24">
      <c r="B59" s="2" t="s">
        <v>597</v>
      </c>
      <c r="D59" s="2" t="s">
        <v>598</v>
      </c>
      <c r="E59" s="2" t="s">
        <v>598</v>
      </c>
      <c r="H59" s="2" t="s">
        <v>599</v>
      </c>
      <c r="K59" s="2" t="s">
        <v>598</v>
      </c>
      <c r="L59" s="2" t="s">
        <v>599</v>
      </c>
      <c r="N59" s="2" t="s">
        <v>597</v>
      </c>
      <c r="T59" s="3" t="s">
        <v>598</v>
      </c>
      <c r="U59" s="2" t="s">
        <v>598</v>
      </c>
      <c r="X59" s="2" t="s">
        <v>597</v>
      </c>
    </row>
    <row r="60" spans="2:24">
      <c r="B60" s="2" t="s">
        <v>600</v>
      </c>
      <c r="D60" s="2" t="s">
        <v>601</v>
      </c>
      <c r="E60" s="2" t="s">
        <v>601</v>
      </c>
      <c r="H60" s="2" t="s">
        <v>602</v>
      </c>
      <c r="K60" s="2" t="s">
        <v>601</v>
      </c>
      <c r="L60" s="2" t="s">
        <v>602</v>
      </c>
      <c r="N60" s="2" t="s">
        <v>600</v>
      </c>
      <c r="T60" s="3" t="s">
        <v>601</v>
      </c>
      <c r="U60" s="2" t="s">
        <v>601</v>
      </c>
      <c r="X60" s="2" t="s">
        <v>600</v>
      </c>
    </row>
    <row r="61" ht="15" spans="1:30">
      <c r="A61" s="1" t="s">
        <v>603</v>
      </c>
      <c r="B61" s="1" t="s">
        <v>603</v>
      </c>
      <c r="C61" s="1" t="s">
        <v>603</v>
      </c>
      <c r="D61" s="1" t="s">
        <v>603</v>
      </c>
      <c r="E61" s="1" t="s">
        <v>603</v>
      </c>
      <c r="F61" s="1" t="s">
        <v>603</v>
      </c>
      <c r="H61" s="1" t="s">
        <v>603</v>
      </c>
      <c r="I61" s="1" t="s">
        <v>603</v>
      </c>
      <c r="J61" s="1" t="s">
        <v>603</v>
      </c>
      <c r="K61" s="1" t="s">
        <v>603</v>
      </c>
      <c r="L61" s="1" t="s">
        <v>603</v>
      </c>
      <c r="N61" s="1" t="s">
        <v>603</v>
      </c>
      <c r="O61" s="1" t="s">
        <v>603</v>
      </c>
      <c r="P61" s="1" t="s">
        <v>603</v>
      </c>
      <c r="Q61" s="1" t="s">
        <v>603</v>
      </c>
      <c r="S61" s="1" t="s">
        <v>603</v>
      </c>
      <c r="T61" s="6" t="s">
        <v>603</v>
      </c>
      <c r="U61" s="1" t="s">
        <v>603</v>
      </c>
      <c r="W61" s="1" t="s">
        <v>603</v>
      </c>
      <c r="X61" s="1" t="s">
        <v>603</v>
      </c>
      <c r="Y61" s="1" t="s">
        <v>603</v>
      </c>
      <c r="Z61" s="1" t="s">
        <v>603</v>
      </c>
      <c r="AB61" s="1" t="s">
        <v>603</v>
      </c>
      <c r="AD61" s="1" t="s">
        <v>603</v>
      </c>
    </row>
    <row r="62" spans="2:30">
      <c r="B62" s="2" t="s">
        <v>604</v>
      </c>
      <c r="D62" s="2" t="s">
        <v>605</v>
      </c>
      <c r="E62" s="2" t="s">
        <v>605</v>
      </c>
      <c r="H62" s="2" t="s">
        <v>604</v>
      </c>
      <c r="K62" s="2" t="s">
        <v>604</v>
      </c>
      <c r="L62" s="2" t="s">
        <v>604</v>
      </c>
      <c r="N62" s="2" t="s">
        <v>606</v>
      </c>
      <c r="T62" s="3" t="s">
        <v>604</v>
      </c>
      <c r="U62" s="2" t="s">
        <v>607</v>
      </c>
      <c r="X62" s="2" t="s">
        <v>606</v>
      </c>
      <c r="AD62" s="2" t="s">
        <v>608</v>
      </c>
    </row>
    <row r="63" spans="2:30">
      <c r="B63" s="2" t="s">
        <v>609</v>
      </c>
      <c r="D63" s="2" t="s">
        <v>609</v>
      </c>
      <c r="E63" s="2" t="s">
        <v>609</v>
      </c>
      <c r="H63" s="2" t="s">
        <v>610</v>
      </c>
      <c r="K63" s="2" t="s">
        <v>611</v>
      </c>
      <c r="L63" s="2" t="s">
        <v>610</v>
      </c>
      <c r="N63" s="2" t="s">
        <v>611</v>
      </c>
      <c r="T63" s="3" t="s">
        <v>612</v>
      </c>
      <c r="U63" s="2" t="s">
        <v>611</v>
      </c>
      <c r="X63" s="2" t="s">
        <v>611</v>
      </c>
      <c r="AD63" s="1" t="s">
        <v>613</v>
      </c>
    </row>
    <row r="64" spans="12:30">
      <c r="L64" s="2" t="s">
        <v>614</v>
      </c>
      <c r="AD64" s="2" t="s">
        <v>615</v>
      </c>
    </row>
    <row r="65" spans="12:30">
      <c r="L65" s="2" t="s">
        <v>616</v>
      </c>
      <c r="AD65" s="2" t="s">
        <v>617</v>
      </c>
    </row>
    <row r="66" spans="12:30">
      <c r="L66" s="2" t="s">
        <v>618</v>
      </c>
      <c r="AD66" s="2" t="s">
        <v>619</v>
      </c>
    </row>
    <row r="67" spans="30:30">
      <c r="AD67" s="2" t="s">
        <v>620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76"/>
  <sheetViews>
    <sheetView zoomScale="85" zoomScaleNormal="85" topLeftCell="B1" workbookViewId="0">
      <pane xSplit="1" ySplit="1" topLeftCell="C12" activePane="bottomRight" state="frozen"/>
      <selection/>
      <selection pane="topRight"/>
      <selection pane="bottomLeft"/>
      <selection pane="bottomRight" activeCell="D30" sqref="D30:J30"/>
    </sheetView>
  </sheetViews>
  <sheetFormatPr defaultColWidth="8.125" defaultRowHeight="16.5"/>
  <cols>
    <col min="1" max="1" width="15.375" style="41" customWidth="1"/>
    <col min="2" max="2" width="27.7583333333333" style="41" customWidth="1"/>
    <col min="3" max="3" width="19.125" style="41" customWidth="1"/>
    <col min="4" max="5" width="12.75" style="50" customWidth="1"/>
    <col min="6" max="6" width="12.75" style="41" customWidth="1"/>
    <col min="7" max="8" width="12.75" style="50" customWidth="1"/>
    <col min="9" max="9" width="16.625" style="50" customWidth="1"/>
    <col min="10" max="10" width="12.375" style="50" customWidth="1"/>
    <col min="11" max="11" width="21.5" style="41" customWidth="1"/>
    <col min="12" max="31" width="8.125" style="50"/>
    <col min="32" max="32" width="12.75" style="41" customWidth="1"/>
    <col min="33" max="47" width="8.125" style="50"/>
    <col min="48" max="48" width="15.625" style="50" customWidth="1"/>
    <col min="49" max="16384" width="8.125" style="50"/>
  </cols>
  <sheetData>
    <row r="1" ht="45" spans="1:48">
      <c r="A1" s="40"/>
      <c r="B1" s="40"/>
      <c r="C1" s="40" t="s">
        <v>104</v>
      </c>
      <c r="D1" s="40" t="s">
        <v>105</v>
      </c>
      <c r="E1" s="40" t="s">
        <v>106</v>
      </c>
      <c r="F1" s="40" t="s">
        <v>107</v>
      </c>
      <c r="G1" s="40" t="s">
        <v>108</v>
      </c>
      <c r="H1" s="40" t="s">
        <v>109</v>
      </c>
      <c r="I1" s="40" t="s">
        <v>110</v>
      </c>
      <c r="J1" s="40" t="s">
        <v>111</v>
      </c>
      <c r="K1" s="40"/>
      <c r="L1" s="40"/>
      <c r="M1" s="40"/>
      <c r="N1" s="40"/>
      <c r="O1" s="40"/>
      <c r="AF1" s="40" t="s">
        <v>112</v>
      </c>
      <c r="AV1" s="40"/>
    </row>
    <row r="2" s="48" customFormat="1" ht="30" spans="1:48">
      <c r="A2" s="40" t="s">
        <v>9</v>
      </c>
      <c r="B2" s="51" t="s">
        <v>10</v>
      </c>
      <c r="C2" s="51" t="s">
        <v>11</v>
      </c>
      <c r="D2" s="51" t="s">
        <v>11</v>
      </c>
      <c r="E2" s="51" t="s">
        <v>11</v>
      </c>
      <c r="F2" s="51" t="s">
        <v>11</v>
      </c>
      <c r="G2" s="51" t="s">
        <v>11</v>
      </c>
      <c r="H2" s="51" t="s">
        <v>11</v>
      </c>
      <c r="I2" s="51" t="s">
        <v>11</v>
      </c>
      <c r="J2" s="51" t="s">
        <v>11</v>
      </c>
      <c r="K2" s="51"/>
      <c r="L2" s="51"/>
      <c r="AF2" s="51" t="s">
        <v>113</v>
      </c>
      <c r="AV2" s="51"/>
    </row>
    <row r="3" spans="1:48">
      <c r="A3" s="50"/>
      <c r="B3" s="41" t="s">
        <v>12</v>
      </c>
      <c r="C3" s="41" t="s">
        <v>14</v>
      </c>
      <c r="D3" s="41" t="s">
        <v>13</v>
      </c>
      <c r="E3" s="41" t="s">
        <v>13</v>
      </c>
      <c r="F3" s="41" t="s">
        <v>15</v>
      </c>
      <c r="G3" s="41" t="s">
        <v>14</v>
      </c>
      <c r="H3" s="41" t="s">
        <v>14</v>
      </c>
      <c r="I3" s="41" t="s">
        <v>14</v>
      </c>
      <c r="J3" s="41" t="s">
        <v>13</v>
      </c>
      <c r="AF3" s="41" t="s">
        <v>15</v>
      </c>
      <c r="AV3" s="41"/>
    </row>
    <row r="4" spans="2:48">
      <c r="B4" s="41" t="s">
        <v>16</v>
      </c>
      <c r="C4" s="41" t="s">
        <v>18</v>
      </c>
      <c r="D4" s="41" t="s">
        <v>17</v>
      </c>
      <c r="E4" s="41" t="s">
        <v>17</v>
      </c>
      <c r="F4" s="41" t="s">
        <v>18</v>
      </c>
      <c r="G4" s="41" t="s">
        <v>18</v>
      </c>
      <c r="H4" s="41" t="s">
        <v>18</v>
      </c>
      <c r="I4" s="41" t="s">
        <v>18</v>
      </c>
      <c r="J4" s="41" t="s">
        <v>114</v>
      </c>
      <c r="AF4" s="41" t="s">
        <v>18</v>
      </c>
      <c r="AV4" s="41"/>
    </row>
    <row r="5" spans="2:48">
      <c r="B5" s="41" t="s">
        <v>19</v>
      </c>
      <c r="C5" s="41" t="s">
        <v>21</v>
      </c>
      <c r="D5" s="41" t="s">
        <v>20</v>
      </c>
      <c r="E5" s="41" t="s">
        <v>20</v>
      </c>
      <c r="F5" s="41" t="s">
        <v>21</v>
      </c>
      <c r="G5" s="41" t="s">
        <v>21</v>
      </c>
      <c r="H5" s="41" t="s">
        <v>21</v>
      </c>
      <c r="I5" s="41" t="s">
        <v>21</v>
      </c>
      <c r="J5" s="41" t="s">
        <v>115</v>
      </c>
      <c r="AF5" s="41" t="s">
        <v>21</v>
      </c>
      <c r="AV5" s="41"/>
    </row>
    <row r="6" ht="33" spans="2:48">
      <c r="B6" s="41" t="s">
        <v>22</v>
      </c>
      <c r="C6" s="41" t="s">
        <v>24</v>
      </c>
      <c r="D6" s="41" t="s">
        <v>23</v>
      </c>
      <c r="E6" s="41" t="s">
        <v>23</v>
      </c>
      <c r="F6" s="41" t="s">
        <v>24</v>
      </c>
      <c r="G6" s="41" t="s">
        <v>24</v>
      </c>
      <c r="H6" s="41" t="s">
        <v>24</v>
      </c>
      <c r="I6" s="41" t="s">
        <v>24</v>
      </c>
      <c r="J6" s="41" t="s">
        <v>23</v>
      </c>
      <c r="AF6" s="41" t="s">
        <v>24</v>
      </c>
      <c r="AV6" s="41"/>
    </row>
    <row r="7" ht="33" spans="2:48">
      <c r="B7" s="41" t="s">
        <v>25</v>
      </c>
      <c r="C7" s="41" t="s">
        <v>23</v>
      </c>
      <c r="D7" s="41" t="s">
        <v>23</v>
      </c>
      <c r="E7" s="41" t="s">
        <v>23</v>
      </c>
      <c r="F7" s="41" t="s">
        <v>23</v>
      </c>
      <c r="G7" s="41" t="s">
        <v>23</v>
      </c>
      <c r="H7" s="41" t="s">
        <v>23</v>
      </c>
      <c r="I7" s="41" t="s">
        <v>23</v>
      </c>
      <c r="J7" s="41" t="s">
        <v>23</v>
      </c>
      <c r="AF7" s="41" t="s">
        <v>23</v>
      </c>
      <c r="AV7" s="41"/>
    </row>
    <row r="8" ht="33" spans="2:48">
      <c r="B8" s="41" t="s">
        <v>26</v>
      </c>
      <c r="C8" s="41" t="s">
        <v>23</v>
      </c>
      <c r="D8" s="41" t="s">
        <v>23</v>
      </c>
      <c r="E8" s="41" t="s">
        <v>23</v>
      </c>
      <c r="F8" s="41" t="s">
        <v>23</v>
      </c>
      <c r="G8" s="41" t="s">
        <v>23</v>
      </c>
      <c r="H8" s="41" t="s">
        <v>23</v>
      </c>
      <c r="I8" s="41" t="s">
        <v>23</v>
      </c>
      <c r="J8" s="41" t="s">
        <v>23</v>
      </c>
      <c r="AF8" s="41" t="s">
        <v>23</v>
      </c>
      <c r="AV8" s="41"/>
    </row>
    <row r="9" ht="33" spans="2:48">
      <c r="B9" s="41" t="s">
        <v>27</v>
      </c>
      <c r="C9" s="41" t="s">
        <v>23</v>
      </c>
      <c r="D9" s="41" t="s">
        <v>23</v>
      </c>
      <c r="E9" s="41" t="s">
        <v>23</v>
      </c>
      <c r="F9" s="41" t="s">
        <v>23</v>
      </c>
      <c r="G9" s="41" t="s">
        <v>23</v>
      </c>
      <c r="H9" s="41" t="s">
        <v>23</v>
      </c>
      <c r="I9" s="41" t="s">
        <v>23</v>
      </c>
      <c r="J9" s="41" t="s">
        <v>23</v>
      </c>
      <c r="AF9" s="41" t="s">
        <v>23</v>
      </c>
      <c r="AV9" s="41"/>
    </row>
    <row r="10" s="41" customFormat="1" ht="33" spans="2:32">
      <c r="B10" s="41" t="s">
        <v>28</v>
      </c>
      <c r="C10" s="41" t="s">
        <v>24</v>
      </c>
      <c r="D10" s="41" t="s">
        <v>24</v>
      </c>
      <c r="E10" s="41" t="s">
        <v>24</v>
      </c>
      <c r="F10" s="41" t="s">
        <v>24</v>
      </c>
      <c r="G10" s="41" t="s">
        <v>24</v>
      </c>
      <c r="H10" s="41" t="s">
        <v>24</v>
      </c>
      <c r="I10" s="41" t="s">
        <v>24</v>
      </c>
      <c r="J10" s="41" t="s">
        <v>24</v>
      </c>
      <c r="AF10" s="41" t="s">
        <v>24</v>
      </c>
    </row>
    <row r="11" ht="33" spans="2:48">
      <c r="B11" s="41" t="s">
        <v>29</v>
      </c>
      <c r="C11" s="41" t="s">
        <v>30</v>
      </c>
      <c r="D11" s="41" t="s">
        <v>31</v>
      </c>
      <c r="E11" s="41" t="s">
        <v>30</v>
      </c>
      <c r="F11" s="41" t="s">
        <v>31</v>
      </c>
      <c r="G11" s="41" t="s">
        <v>31</v>
      </c>
      <c r="H11" s="41" t="s">
        <v>30</v>
      </c>
      <c r="I11" s="41" t="s">
        <v>31</v>
      </c>
      <c r="J11" s="41" t="s">
        <v>30</v>
      </c>
      <c r="AF11" s="41" t="s">
        <v>31</v>
      </c>
      <c r="AV11" s="41"/>
    </row>
    <row r="12" spans="2:48">
      <c r="B12" s="41" t="s">
        <v>32</v>
      </c>
      <c r="C12" s="41" t="s">
        <v>23</v>
      </c>
      <c r="D12" s="41" t="s">
        <v>23</v>
      </c>
      <c r="E12" s="41" t="s">
        <v>23</v>
      </c>
      <c r="F12" s="41" t="s">
        <v>23</v>
      </c>
      <c r="G12" s="41" t="s">
        <v>23</v>
      </c>
      <c r="H12" s="41" t="s">
        <v>23</v>
      </c>
      <c r="I12" s="41" t="s">
        <v>23</v>
      </c>
      <c r="J12" s="41" t="s">
        <v>23</v>
      </c>
      <c r="AF12" s="41" t="s">
        <v>23</v>
      </c>
      <c r="AV12" s="41"/>
    </row>
    <row r="13" s="49" customFormat="1" ht="30" spans="1:48">
      <c r="A13" s="48" t="s">
        <v>33</v>
      </c>
      <c r="B13" s="51" t="s">
        <v>34</v>
      </c>
      <c r="C13" s="52">
        <f>一些设定!C6/2</f>
        <v>396</v>
      </c>
      <c r="D13" s="52">
        <f>一些设定!N6/2</f>
        <v>168.75</v>
      </c>
      <c r="E13" s="52">
        <f>一些设定!N6/2</f>
        <v>168.75</v>
      </c>
      <c r="F13" s="52">
        <f>一些设定!C6/2</f>
        <v>396</v>
      </c>
      <c r="G13" s="52">
        <f>一些设定!H6/2</f>
        <v>287.1</v>
      </c>
      <c r="H13" s="52">
        <f>一些设定!C6/2</f>
        <v>396</v>
      </c>
      <c r="I13" s="52">
        <f>一些设定!C6/2</f>
        <v>396</v>
      </c>
      <c r="J13" s="52">
        <v>6666</v>
      </c>
      <c r="K13" s="52"/>
      <c r="AF13" s="52">
        <v>396</v>
      </c>
      <c r="AV13" s="52"/>
    </row>
    <row r="14" ht="49.5" spans="2:48">
      <c r="B14" s="41" t="s">
        <v>35</v>
      </c>
      <c r="C14" s="41">
        <v>1</v>
      </c>
      <c r="D14" s="41">
        <v>1</v>
      </c>
      <c r="E14" s="41">
        <v>1</v>
      </c>
      <c r="F14" s="41">
        <v>1</v>
      </c>
      <c r="G14" s="41">
        <v>1</v>
      </c>
      <c r="H14" s="41">
        <v>1</v>
      </c>
      <c r="I14" s="41">
        <v>1</v>
      </c>
      <c r="J14" s="41">
        <v>1</v>
      </c>
      <c r="AF14" s="41">
        <v>1</v>
      </c>
      <c r="AV14" s="41"/>
    </row>
    <row r="15" spans="2:48">
      <c r="B15" s="41" t="s">
        <v>36</v>
      </c>
      <c r="C15" s="36">
        <f t="shared" ref="C15" si="0">7.62</f>
        <v>7.62</v>
      </c>
      <c r="D15" s="36">
        <f>9</f>
        <v>9</v>
      </c>
      <c r="E15" s="36">
        <f>9</f>
        <v>9</v>
      </c>
      <c r="F15" s="36">
        <f t="shared" ref="F15:I15" si="1">7.62</f>
        <v>7.62</v>
      </c>
      <c r="G15" s="36">
        <f t="shared" si="1"/>
        <v>7.62</v>
      </c>
      <c r="H15" s="36">
        <f t="shared" si="1"/>
        <v>7.62</v>
      </c>
      <c r="I15" s="36">
        <f t="shared" si="1"/>
        <v>7.62</v>
      </c>
      <c r="J15" s="36">
        <v>6666</v>
      </c>
      <c r="K15" s="36"/>
      <c r="AF15" s="36">
        <v>7.62</v>
      </c>
      <c r="AV15" s="36"/>
    </row>
    <row r="16" ht="49.5" spans="2:48">
      <c r="B16" s="41" t="s">
        <v>37</v>
      </c>
      <c r="C16" s="41">
        <f t="shared" ref="C16" si="2">1000*39.37</f>
        <v>39370</v>
      </c>
      <c r="D16" s="41">
        <f>200*39.37</f>
        <v>7874</v>
      </c>
      <c r="E16" s="53">
        <f>100*39.37</f>
        <v>3937</v>
      </c>
      <c r="F16" s="41">
        <f t="shared" ref="F16" si="3">1000*39.37</f>
        <v>39370</v>
      </c>
      <c r="G16" s="41">
        <f>500*39.37</f>
        <v>19685</v>
      </c>
      <c r="H16" s="41">
        <f t="shared" ref="H16:I16" si="4">1000*39.37</f>
        <v>39370</v>
      </c>
      <c r="I16" s="41">
        <f t="shared" si="4"/>
        <v>39370</v>
      </c>
      <c r="J16" s="41">
        <f>1500*39.37</f>
        <v>59055</v>
      </c>
      <c r="AF16" s="41">
        <v>39370</v>
      </c>
      <c r="AV16" s="41"/>
    </row>
    <row r="17" spans="2:48">
      <c r="B17" s="41" t="s">
        <v>38</v>
      </c>
      <c r="C17" s="41">
        <v>300</v>
      </c>
      <c r="D17" s="41">
        <v>300</v>
      </c>
      <c r="E17" s="41">
        <v>300</v>
      </c>
      <c r="F17" s="41">
        <v>300</v>
      </c>
      <c r="G17" s="41">
        <v>300</v>
      </c>
      <c r="H17" s="41">
        <v>300</v>
      </c>
      <c r="I17" s="41">
        <v>300</v>
      </c>
      <c r="J17" s="41">
        <v>300</v>
      </c>
      <c r="AF17" s="41">
        <v>300</v>
      </c>
      <c r="AV17" s="41"/>
    </row>
    <row r="18" spans="2:48">
      <c r="B18" s="41" t="s">
        <v>39</v>
      </c>
      <c r="C18" s="36">
        <f t="shared" ref="C18:K18" si="5">C13/10</f>
        <v>39.6</v>
      </c>
      <c r="D18" s="36">
        <f t="shared" si="5"/>
        <v>16.875</v>
      </c>
      <c r="E18" s="36">
        <f t="shared" si="5"/>
        <v>16.875</v>
      </c>
      <c r="F18" s="36">
        <f t="shared" si="5"/>
        <v>39.6</v>
      </c>
      <c r="G18" s="36">
        <f t="shared" si="5"/>
        <v>28.71</v>
      </c>
      <c r="H18" s="36">
        <f t="shared" si="5"/>
        <v>39.6</v>
      </c>
      <c r="I18" s="36">
        <f t="shared" si="5"/>
        <v>39.6</v>
      </c>
      <c r="J18" s="36">
        <f t="shared" si="5"/>
        <v>666.6</v>
      </c>
      <c r="K18" s="36"/>
      <c r="AF18" s="36">
        <v>39.6</v>
      </c>
      <c r="AV18" s="36"/>
    </row>
    <row r="19" s="49" customFormat="1" ht="30" spans="1:48">
      <c r="A19" s="48" t="s">
        <v>40</v>
      </c>
      <c r="B19" s="51" t="s">
        <v>41</v>
      </c>
      <c r="C19" s="51">
        <f>5*18</f>
        <v>90</v>
      </c>
      <c r="D19" s="51">
        <f>32*8</f>
        <v>256</v>
      </c>
      <c r="E19" s="51">
        <f>8*10</f>
        <v>80</v>
      </c>
      <c r="F19" s="51">
        <f>50*3</f>
        <v>150</v>
      </c>
      <c r="G19" s="51">
        <f>30*8</f>
        <v>240</v>
      </c>
      <c r="H19" s="85">
        <f>10*12</f>
        <v>120</v>
      </c>
      <c r="I19" s="51">
        <f>20*12</f>
        <v>240</v>
      </c>
      <c r="J19" s="51">
        <f>60*12</f>
        <v>720</v>
      </c>
      <c r="K19" s="51"/>
      <c r="AF19" s="51">
        <v>5000</v>
      </c>
      <c r="AV19" s="51"/>
    </row>
    <row r="20" spans="2:48">
      <c r="B20" s="41" t="s">
        <v>42</v>
      </c>
      <c r="C20" s="41">
        <v>75</v>
      </c>
      <c r="D20" s="41">
        <v>160</v>
      </c>
      <c r="E20" s="41">
        <v>40</v>
      </c>
      <c r="F20" s="41">
        <v>100</v>
      </c>
      <c r="G20" s="41">
        <v>150</v>
      </c>
      <c r="H20" s="41">
        <v>60</v>
      </c>
      <c r="I20" s="41">
        <v>100</v>
      </c>
      <c r="J20" s="41">
        <f>60*10</f>
        <v>600</v>
      </c>
      <c r="AF20" s="41">
        <v>2500</v>
      </c>
      <c r="AV20" s="41"/>
    </row>
    <row r="21" ht="33" spans="2:48">
      <c r="B21" s="41" t="s">
        <v>43</v>
      </c>
      <c r="C21" s="41">
        <v>5</v>
      </c>
      <c r="D21" s="41">
        <v>32</v>
      </c>
      <c r="E21" s="41">
        <v>8</v>
      </c>
      <c r="F21" s="41">
        <v>50</v>
      </c>
      <c r="G21" s="41">
        <v>30</v>
      </c>
      <c r="H21" s="41">
        <v>10</v>
      </c>
      <c r="I21" s="41">
        <v>20</v>
      </c>
      <c r="J21" s="41">
        <v>60</v>
      </c>
      <c r="AF21" s="41">
        <v>250</v>
      </c>
      <c r="AV21" s="41"/>
    </row>
    <row r="22" ht="49.5" spans="2:48">
      <c r="B22" s="41" t="s">
        <v>44</v>
      </c>
      <c r="C22" s="41" t="s">
        <v>23</v>
      </c>
      <c r="D22" s="41" t="s">
        <v>23</v>
      </c>
      <c r="E22" s="41" t="s">
        <v>23</v>
      </c>
      <c r="F22" s="41" t="s">
        <v>23</v>
      </c>
      <c r="G22" s="41" t="s">
        <v>23</v>
      </c>
      <c r="H22" s="41" t="s">
        <v>23</v>
      </c>
      <c r="I22" s="41" t="s">
        <v>23</v>
      </c>
      <c r="J22" s="41" t="s">
        <v>23</v>
      </c>
      <c r="AF22" s="41" t="s">
        <v>23</v>
      </c>
      <c r="AV22" s="41"/>
    </row>
    <row r="23" ht="49.5" spans="2:48">
      <c r="B23" s="41" t="s">
        <v>45</v>
      </c>
      <c r="C23" s="41" t="s">
        <v>23</v>
      </c>
      <c r="D23" s="41" t="s">
        <v>23</v>
      </c>
      <c r="E23" s="41" t="s">
        <v>23</v>
      </c>
      <c r="F23" s="41" t="s">
        <v>23</v>
      </c>
      <c r="G23" s="41" t="s">
        <v>23</v>
      </c>
      <c r="H23" s="41" t="s">
        <v>23</v>
      </c>
      <c r="I23" s="41" t="s">
        <v>23</v>
      </c>
      <c r="J23" s="41" t="s">
        <v>23</v>
      </c>
      <c r="AF23" s="41" t="s">
        <v>23</v>
      </c>
      <c r="AV23" s="41"/>
    </row>
    <row r="24" s="49" customFormat="1" ht="33" spans="1:48">
      <c r="A24" s="48" t="s">
        <v>46</v>
      </c>
      <c r="B24" s="51" t="s">
        <v>116</v>
      </c>
      <c r="C24" s="51">
        <v>60</v>
      </c>
      <c r="D24" s="51">
        <v>60</v>
      </c>
      <c r="E24" s="51">
        <v>60</v>
      </c>
      <c r="F24" s="51">
        <v>60</v>
      </c>
      <c r="G24" s="51">
        <v>60</v>
      </c>
      <c r="H24" s="51">
        <v>60</v>
      </c>
      <c r="I24" s="51">
        <v>60</v>
      </c>
      <c r="J24" s="51">
        <v>60</v>
      </c>
      <c r="K24" s="51"/>
      <c r="AF24" s="51">
        <v>60</v>
      </c>
      <c r="AV24" s="51"/>
    </row>
    <row r="25" ht="33" spans="2:32">
      <c r="B25" s="41" t="s">
        <v>48</v>
      </c>
      <c r="C25" s="37">
        <f>(1/'枪械实际规格（德系）'!B2)^0.0625</f>
        <v>0.915589933076224</v>
      </c>
      <c r="D25" s="37">
        <f>(1/'枪械实际规格（德系）'!C2)^0.0625</f>
        <v>0.917435610398121</v>
      </c>
      <c r="E25" s="37">
        <f>(1/'枪械实际规格（德系）'!D2)^0.0625</f>
        <v>1.00126346670973</v>
      </c>
      <c r="F25" s="37">
        <f>(1/'枪械实际规格（德系）'!E2)^0.0625</f>
        <v>0.857968564195623</v>
      </c>
      <c r="G25" s="37">
        <f>(1/'枪械实际规格（德系）'!F2)^0.0625</f>
        <v>0.902854287302947</v>
      </c>
      <c r="H25" s="37">
        <f>(1/'枪械实际规格（德系）'!G2)^0.0625</f>
        <v>0.911557791894244</v>
      </c>
      <c r="I25" s="37">
        <f>(1/'枪械实际规格（德系）'!H2)^0.0625</f>
        <v>0.904872052675398</v>
      </c>
      <c r="J25" s="37">
        <f>(1/'枪械实际规格（德系）'!I2)^0.0625</f>
        <v>0.974976833034581</v>
      </c>
      <c r="K25" s="37"/>
      <c r="AF25" s="37">
        <f t="shared" ref="AF25:AF27" si="6">F25*0</f>
        <v>0</v>
      </c>
    </row>
    <row r="26" ht="33" spans="2:32">
      <c r="B26" s="41" t="s">
        <v>49</v>
      </c>
      <c r="C26" s="37">
        <f t="shared" ref="C26:F26" si="7">0.1+C25*0.75</f>
        <v>0.786692449807168</v>
      </c>
      <c r="D26" s="37">
        <f t="shared" si="7"/>
        <v>0.788076707798591</v>
      </c>
      <c r="E26" s="37">
        <f t="shared" si="7"/>
        <v>0.8509476000323</v>
      </c>
      <c r="F26" s="37">
        <f t="shared" si="7"/>
        <v>0.743476423146717</v>
      </c>
      <c r="G26" s="37">
        <f t="shared" ref="G26:K26" si="8">0.1+G25*0.75</f>
        <v>0.77714071547721</v>
      </c>
      <c r="H26" s="37">
        <f t="shared" si="8"/>
        <v>0.783668343920683</v>
      </c>
      <c r="I26" s="37">
        <f t="shared" si="8"/>
        <v>0.778654039506549</v>
      </c>
      <c r="J26" s="37">
        <f t="shared" si="8"/>
        <v>0.831232624775936</v>
      </c>
      <c r="K26" s="37"/>
      <c r="AF26" s="37">
        <f t="shared" si="6"/>
        <v>0</v>
      </c>
    </row>
    <row r="27" ht="33" spans="2:32">
      <c r="B27" s="41" t="s">
        <v>50</v>
      </c>
      <c r="C27" s="37">
        <f>2-('枪械实际规格（德系）'!B2/10)+(1/'枪械实际规格（德系）'!B2)^10</f>
        <v>1.59000074500885</v>
      </c>
      <c r="D27" s="37">
        <f>2-('枪械实际规格（德系）'!C2/10)+(1/'枪械实际规格（德系）'!C2)^10</f>
        <v>1.60300102824104</v>
      </c>
      <c r="E27" s="37">
        <f>2-('枪械实际规格（德系）'!D2/10)+(1/'枪械实际规格（德系）'!D2)^10</f>
        <v>3.12588114201141</v>
      </c>
      <c r="F27" s="37">
        <f>2-('枪械实际规格（德系）'!E2/10)+(1/'枪械实际规格（德系）'!E2)^10</f>
        <v>0.840000000022668</v>
      </c>
      <c r="G27" s="37">
        <f>2-('枪械实际规格（德系）'!F2/10)+(1/'枪械实际规格（德系）'!F2)^10</f>
        <v>1.48700007921845</v>
      </c>
      <c r="H27" s="37">
        <f>2-('枪械实际规格（德系）'!G2/10)+(1/'枪械实际规格（德系）'!G2)^10</f>
        <v>1.56000036768273</v>
      </c>
      <c r="I27" s="37">
        <f>2-('枪械实际规格（德系）'!H2/10)+(1/'枪械实际规格（德系）'!H2)^10</f>
        <v>1.50500011322648</v>
      </c>
      <c r="J27" s="37">
        <f>2-('枪械实际规格（德系）'!I2/10)+(1/'枪械实际规格（德系）'!I2)^10</f>
        <v>1.86734152991583</v>
      </c>
      <c r="K27" s="37"/>
      <c r="AF27" s="37">
        <f t="shared" si="6"/>
        <v>0</v>
      </c>
    </row>
    <row r="28" spans="2:48">
      <c r="B28" s="41" t="s">
        <v>51</v>
      </c>
      <c r="C28" s="37">
        <f>0.1+((('枪械实际规格（德系）'!B2*100/'枪械实际规格（德系）'!B3)/4)+'枪械实际规格（德系）'!B3/15000*3)/2*1.1</f>
        <v>0.272888288288288</v>
      </c>
      <c r="D28" s="37">
        <f>0.1+((('枪械实际规格（德系）'!C2*100/'枪械实际规格（德系）'!C3)/4)+'枪械实际规格（德系）'!C3/15000*3)/2*1.1</f>
        <v>0.257161212484994</v>
      </c>
      <c r="E28" s="37">
        <f>0.1+((('枪械实际规格（德系）'!D2*100/'枪械实际规格（德系）'!D3)/4)+'枪械实际规格（德系）'!D3/15000*3)/2*1.1</f>
        <v>0.186144259259259</v>
      </c>
      <c r="F28" s="37">
        <f>0.1+((('枪械实际规格（德系）'!E2*100/'枪械实际规格（德系）'!E3)/4)+'枪械实际规格（德系）'!E3/15000*3)/2*1.1</f>
        <v>0.364937704918033</v>
      </c>
      <c r="G28" s="37">
        <f>0.1+((('枪械实际规格（德系）'!F2*100/'枪械实际规格（德系）'!F3)/4)+'枪械实际规格（德系）'!F3/15000*3)/2*1.1</f>
        <v>0.278439893617021</v>
      </c>
      <c r="H28" s="37">
        <f>0.1+((('枪械实际规格（德系）'!G2*100/'枪械实际规格（德系）'!G3)/4)+'枪械实际规格（德系）'!G3/15000*3)/2*1.1</f>
        <v>0.27783982300885</v>
      </c>
      <c r="I28" s="37">
        <f>0.1+((('枪械实际规格（德系）'!H2*100/'枪械实际规格（德系）'!H3)/4)+'枪械实际规格（德系）'!H3/15000*3)/2*1.1</f>
        <v>0.277057692307692</v>
      </c>
      <c r="J28" s="37">
        <f>0.1+((('枪械实际规格（德系）'!I2*100/'枪械实际规格（德系）'!I3)/4)+'枪械实际规格（德系）'!I3/15000*3)/2*1.1</f>
        <v>0.225125</v>
      </c>
      <c r="K28" s="86"/>
      <c r="AF28" s="37">
        <f t="shared" ref="AF28:AF33" si="9">F28*0.25</f>
        <v>0.0912344262295083</v>
      </c>
      <c r="AV28" s="37"/>
    </row>
    <row r="29" spans="2:48">
      <c r="B29" s="41" t="s">
        <v>52</v>
      </c>
      <c r="C29" s="37">
        <f t="shared" ref="C29:F29" si="10">C28*0.75</f>
        <v>0.204666216216216</v>
      </c>
      <c r="D29" s="37">
        <f t="shared" si="10"/>
        <v>0.192870909363746</v>
      </c>
      <c r="E29" s="37">
        <f t="shared" si="10"/>
        <v>0.139608194444444</v>
      </c>
      <c r="F29" s="37">
        <f t="shared" si="10"/>
        <v>0.273703278688525</v>
      </c>
      <c r="G29" s="37">
        <f t="shared" ref="G29:K29" si="11">G28*0.75</f>
        <v>0.208829920212766</v>
      </c>
      <c r="H29" s="37">
        <f t="shared" si="11"/>
        <v>0.208379867256638</v>
      </c>
      <c r="I29" s="37">
        <f t="shared" si="11"/>
        <v>0.207793269230769</v>
      </c>
      <c r="J29" s="37">
        <f t="shared" si="11"/>
        <v>0.16884375</v>
      </c>
      <c r="K29" s="37"/>
      <c r="AF29" s="37">
        <f t="shared" si="9"/>
        <v>0.0684258196721313</v>
      </c>
      <c r="AV29" s="37"/>
    </row>
    <row r="30" spans="2:48">
      <c r="B30" s="41" t="s">
        <v>53</v>
      </c>
      <c r="C30" s="36">
        <f t="shared" ref="C30:J30" si="12">C28*800</f>
        <v>218.31063063063</v>
      </c>
      <c r="D30" s="36">
        <f t="shared" si="12"/>
        <v>205.728969987995</v>
      </c>
      <c r="E30" s="36">
        <f t="shared" si="12"/>
        <v>148.915407407407</v>
      </c>
      <c r="F30" s="36">
        <f t="shared" si="12"/>
        <v>291.950163934426</v>
      </c>
      <c r="G30" s="36">
        <f t="shared" si="12"/>
        <v>222.751914893617</v>
      </c>
      <c r="H30" s="36">
        <f t="shared" si="12"/>
        <v>222.27185840708</v>
      </c>
      <c r="I30" s="36">
        <f t="shared" si="12"/>
        <v>221.646153846154</v>
      </c>
      <c r="J30" s="36">
        <f t="shared" si="12"/>
        <v>180.1</v>
      </c>
      <c r="K30" s="87"/>
      <c r="AF30" s="37">
        <f t="shared" si="9"/>
        <v>72.9875409836066</v>
      </c>
      <c r="AV30" s="36"/>
    </row>
    <row r="31" ht="33" spans="2:48">
      <c r="B31" s="41" t="s">
        <v>54</v>
      </c>
      <c r="C31" s="38">
        <f>'枪械实际规格（德系）'!B2^0.25</f>
        <v>1.42297072110836</v>
      </c>
      <c r="D31" s="38">
        <f>'枪械实际规格（德系）'!C2^0.25</f>
        <v>1.41155442137989</v>
      </c>
      <c r="E31" s="38">
        <f>'枪械实际规格（德系）'!D2^0.25</f>
        <v>0.994962056392688</v>
      </c>
      <c r="F31" s="38">
        <f>'枪械实际规格（德系）'!E2^0.25</f>
        <v>1.8455019027856</v>
      </c>
      <c r="G31" s="38">
        <f>'枪械实际规格（德系）'!F2^0.25</f>
        <v>1.50497519267968</v>
      </c>
      <c r="H31" s="38">
        <f>'枪械实际规格（德系）'!G2^0.25</f>
        <v>1.44831546851517</v>
      </c>
      <c r="I31" s="38">
        <f>'枪械实际规格（德系）'!H2^0.25</f>
        <v>1.49159630802999</v>
      </c>
      <c r="J31" s="38">
        <f>'枪械实际规格（德系）'!I2^0.25</f>
        <v>1.10668191970032</v>
      </c>
      <c r="K31" s="38"/>
      <c r="AF31" s="37">
        <f t="shared" si="9"/>
        <v>0.461375475696401</v>
      </c>
      <c r="AV31" s="36"/>
    </row>
    <row r="32" ht="33" spans="2:48">
      <c r="B32" s="41" t="s">
        <v>55</v>
      </c>
      <c r="C32" s="36">
        <f t="shared" ref="C32:K32" si="13">C30*0.9</f>
        <v>196.479567567567</v>
      </c>
      <c r="D32" s="36">
        <f t="shared" si="13"/>
        <v>185.156072989196</v>
      </c>
      <c r="E32" s="36">
        <f t="shared" si="13"/>
        <v>134.023866666666</v>
      </c>
      <c r="F32" s="36">
        <f t="shared" si="13"/>
        <v>262.755147540984</v>
      </c>
      <c r="G32" s="36">
        <f t="shared" si="13"/>
        <v>200.476723404255</v>
      </c>
      <c r="H32" s="36">
        <f t="shared" si="13"/>
        <v>200.044672566372</v>
      </c>
      <c r="I32" s="36">
        <f t="shared" si="13"/>
        <v>199.481538461538</v>
      </c>
      <c r="J32" s="36">
        <f t="shared" si="13"/>
        <v>162.09</v>
      </c>
      <c r="K32" s="36"/>
      <c r="AF32" s="37">
        <f t="shared" si="9"/>
        <v>65.6887868852459</v>
      </c>
      <c r="AV32" s="36"/>
    </row>
    <row r="33" ht="33" spans="2:48">
      <c r="B33" s="41" t="s">
        <v>56</v>
      </c>
      <c r="C33" s="38">
        <f t="shared" ref="C33:K33" si="14">C31*1</f>
        <v>1.42297072110836</v>
      </c>
      <c r="D33" s="38">
        <f t="shared" si="14"/>
        <v>1.41155442137989</v>
      </c>
      <c r="E33" s="38">
        <f t="shared" si="14"/>
        <v>0.994962056392688</v>
      </c>
      <c r="F33" s="38">
        <f t="shared" si="14"/>
        <v>1.8455019027856</v>
      </c>
      <c r="G33" s="38">
        <f t="shared" si="14"/>
        <v>1.50497519267968</v>
      </c>
      <c r="H33" s="38">
        <f t="shared" si="14"/>
        <v>1.44831546851517</v>
      </c>
      <c r="I33" s="38">
        <f t="shared" si="14"/>
        <v>1.49159630802999</v>
      </c>
      <c r="J33" s="38">
        <f t="shared" si="14"/>
        <v>1.10668191970032</v>
      </c>
      <c r="K33" s="38"/>
      <c r="AF33" s="37">
        <f t="shared" si="9"/>
        <v>0.461375475696401</v>
      </c>
      <c r="AV33" s="36"/>
    </row>
    <row r="34" ht="33" spans="2:48">
      <c r="B34" s="41" t="s">
        <v>57</v>
      </c>
      <c r="C34" s="41">
        <v>0.5</v>
      </c>
      <c r="D34" s="41">
        <v>0.5</v>
      </c>
      <c r="E34" s="41">
        <v>0.5</v>
      </c>
      <c r="F34" s="41">
        <v>0.5</v>
      </c>
      <c r="G34" s="41">
        <v>0.5</v>
      </c>
      <c r="H34" s="41">
        <v>0.5</v>
      </c>
      <c r="I34" s="41">
        <v>0.5</v>
      </c>
      <c r="J34" s="41">
        <v>0.5</v>
      </c>
      <c r="AF34" s="41">
        <v>0.5</v>
      </c>
      <c r="AV34" s="41"/>
    </row>
    <row r="35" spans="2:48">
      <c r="B35" s="41" t="s">
        <v>58</v>
      </c>
      <c r="C35" s="41">
        <v>0.1</v>
      </c>
      <c r="D35" s="41">
        <v>0.1</v>
      </c>
      <c r="E35" s="41">
        <v>0.1</v>
      </c>
      <c r="F35" s="41">
        <v>0.1</v>
      </c>
      <c r="G35" s="41">
        <v>0.1</v>
      </c>
      <c r="H35" s="41">
        <v>0.1</v>
      </c>
      <c r="I35" s="41">
        <v>0.1</v>
      </c>
      <c r="J35" s="41">
        <v>0.1</v>
      </c>
      <c r="AF35" s="41">
        <v>0.25</v>
      </c>
      <c r="AV35" s="41"/>
    </row>
    <row r="36" spans="2:48">
      <c r="B36" s="41" t="s">
        <v>59</v>
      </c>
      <c r="C36" s="41">
        <v>0</v>
      </c>
      <c r="D36" s="41">
        <v>0</v>
      </c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AF36" s="41">
        <v>0</v>
      </c>
      <c r="AV36" s="41"/>
    </row>
    <row r="37" ht="33" spans="2:48">
      <c r="B37" s="41" t="s">
        <v>60</v>
      </c>
      <c r="C37" s="41">
        <v>0.9</v>
      </c>
      <c r="D37" s="41">
        <v>0.9</v>
      </c>
      <c r="E37" s="41">
        <v>1</v>
      </c>
      <c r="F37" s="41">
        <v>0.85</v>
      </c>
      <c r="G37" s="41">
        <v>0.9</v>
      </c>
      <c r="H37" s="41">
        <v>0.9</v>
      </c>
      <c r="I37" s="41">
        <v>0.9</v>
      </c>
      <c r="J37" s="41">
        <v>1</v>
      </c>
      <c r="AF37" s="41">
        <v>0</v>
      </c>
      <c r="AV37" s="41"/>
    </row>
    <row r="38" s="49" customFormat="1" ht="33" spans="1:48">
      <c r="A38" s="48" t="s">
        <v>61</v>
      </c>
      <c r="B38" s="51" t="s">
        <v>62</v>
      </c>
      <c r="C38" s="54">
        <f>2.17*1.134/10</f>
        <v>0.246078</v>
      </c>
      <c r="D38" s="54">
        <f>18*1.134/10</f>
        <v>2.0412</v>
      </c>
      <c r="E38" s="54">
        <f>20*1.134/10</f>
        <v>2.268</v>
      </c>
      <c r="F38" s="54">
        <f>5*1.134/10</f>
        <v>0.567</v>
      </c>
      <c r="G38" s="54">
        <f>5*1.134/10</f>
        <v>0.567</v>
      </c>
      <c r="H38" s="54">
        <f>2.42*1.134/10</f>
        <v>0.274428</v>
      </c>
      <c r="I38" s="54">
        <f>4.5*1.134/10</f>
        <v>0.5103</v>
      </c>
      <c r="J38" s="54">
        <f>0.5*1.134/10</f>
        <v>0.0567</v>
      </c>
      <c r="K38" s="54"/>
      <c r="AF38" s="54">
        <f>2*1.134/10</f>
        <v>0.2268</v>
      </c>
      <c r="AV38" s="51"/>
    </row>
    <row r="39" s="49" customFormat="1" ht="33" spans="1:48">
      <c r="A39" s="51"/>
      <c r="B39" s="51" t="s">
        <v>63</v>
      </c>
      <c r="C39" s="55">
        <f t="shared" ref="C39:K39" si="15">(C32/10*2.5-1/C38/10)/4</f>
        <v>12.1783791693822</v>
      </c>
      <c r="D39" s="55">
        <f t="shared" si="15"/>
        <v>11.5600068643918</v>
      </c>
      <c r="E39" s="55">
        <f t="shared" si="15"/>
        <v>8.36546873897706</v>
      </c>
      <c r="F39" s="55">
        <f t="shared" si="15"/>
        <v>16.3781050105531</v>
      </c>
      <c r="G39" s="55">
        <f t="shared" si="15"/>
        <v>12.4857035020076</v>
      </c>
      <c r="H39" s="55">
        <f t="shared" si="15"/>
        <v>12.4116934594512</v>
      </c>
      <c r="I39" s="55">
        <f t="shared" si="15"/>
        <v>12.4186053641146</v>
      </c>
      <c r="J39" s="55">
        <f t="shared" si="15"/>
        <v>9.68970789241623</v>
      </c>
      <c r="K39" s="55"/>
      <c r="AF39" s="55">
        <f t="shared" ref="AF39:AF47" si="16">F39*0.25</f>
        <v>4.09452625263828</v>
      </c>
      <c r="AV39" s="55"/>
    </row>
    <row r="40" ht="33" spans="2:48">
      <c r="B40" s="41" t="s">
        <v>64</v>
      </c>
      <c r="C40" s="37">
        <f t="shared" ref="C40:K40" si="17">C39*0.95</f>
        <v>11.5694602109131</v>
      </c>
      <c r="D40" s="37">
        <f t="shared" si="17"/>
        <v>10.9820065211723</v>
      </c>
      <c r="E40" s="37">
        <f t="shared" si="17"/>
        <v>7.94719530202821</v>
      </c>
      <c r="F40" s="37">
        <f t="shared" si="17"/>
        <v>15.5591997600255</v>
      </c>
      <c r="G40" s="37">
        <f t="shared" si="17"/>
        <v>11.8614183269072</v>
      </c>
      <c r="H40" s="37">
        <f t="shared" si="17"/>
        <v>11.7911087864786</v>
      </c>
      <c r="I40" s="37">
        <f t="shared" si="17"/>
        <v>11.7976750959089</v>
      </c>
      <c r="J40" s="37">
        <f t="shared" si="17"/>
        <v>9.20522249779541</v>
      </c>
      <c r="K40" s="37"/>
      <c r="AF40" s="37">
        <f t="shared" si="16"/>
        <v>3.88979994000636</v>
      </c>
      <c r="AV40" s="37"/>
    </row>
    <row r="41" ht="33" spans="2:48">
      <c r="B41" s="41" t="s">
        <v>65</v>
      </c>
      <c r="C41" s="37">
        <f t="shared" ref="C41:K41" si="18">C39*0.9</f>
        <v>10.960541252444</v>
      </c>
      <c r="D41" s="37">
        <f t="shared" si="18"/>
        <v>10.4040061779527</v>
      </c>
      <c r="E41" s="37">
        <f t="shared" si="18"/>
        <v>7.52892186507936</v>
      </c>
      <c r="F41" s="37">
        <f t="shared" si="18"/>
        <v>14.7402945094978</v>
      </c>
      <c r="G41" s="37">
        <f t="shared" si="18"/>
        <v>11.2371331518068</v>
      </c>
      <c r="H41" s="37">
        <f t="shared" si="18"/>
        <v>11.1705241135061</v>
      </c>
      <c r="I41" s="37">
        <f t="shared" si="18"/>
        <v>11.1767448277031</v>
      </c>
      <c r="J41" s="37">
        <f t="shared" si="18"/>
        <v>8.7207371031746</v>
      </c>
      <c r="K41" s="37"/>
      <c r="AF41" s="37">
        <f t="shared" si="16"/>
        <v>3.68507362737445</v>
      </c>
      <c r="AV41" s="37"/>
    </row>
    <row r="42" s="49" customFormat="1" ht="33" spans="1:48">
      <c r="A42" s="51"/>
      <c r="B42" s="51" t="s">
        <v>66</v>
      </c>
      <c r="C42" s="55">
        <f t="shared" ref="C42:K42" si="19">(C30/10*5-1/C38/10)/4</f>
        <v>27.1872350252381</v>
      </c>
      <c r="D42" s="55">
        <f t="shared" si="19"/>
        <v>25.7038735510665</v>
      </c>
      <c r="E42" s="55">
        <f t="shared" si="19"/>
        <v>18.6034029982363</v>
      </c>
      <c r="F42" s="55">
        <f t="shared" si="19"/>
        <v>36.4496787810449</v>
      </c>
      <c r="G42" s="55">
        <f t="shared" si="19"/>
        <v>27.7998976509437</v>
      </c>
      <c r="H42" s="55">
        <f t="shared" si="19"/>
        <v>27.6928837249379</v>
      </c>
      <c r="I42" s="55">
        <f t="shared" si="19"/>
        <v>27.6567784410377</v>
      </c>
      <c r="J42" s="55">
        <f t="shared" si="19"/>
        <v>22.0715828924162</v>
      </c>
      <c r="K42" s="55"/>
      <c r="AF42" s="55">
        <f t="shared" si="16"/>
        <v>9.11241969526123</v>
      </c>
      <c r="AV42" s="55"/>
    </row>
    <row r="43" ht="33" spans="2:48">
      <c r="B43" s="41" t="s">
        <v>67</v>
      </c>
      <c r="C43" s="37">
        <f t="shared" ref="C43:K43" si="20">C42*0.95</f>
        <v>25.8278732739762</v>
      </c>
      <c r="D43" s="37">
        <f t="shared" si="20"/>
        <v>24.4186798735132</v>
      </c>
      <c r="E43" s="37">
        <f t="shared" si="20"/>
        <v>17.6732328483245</v>
      </c>
      <c r="F43" s="37">
        <f t="shared" si="20"/>
        <v>34.6271948419927</v>
      </c>
      <c r="G43" s="37">
        <f t="shared" si="20"/>
        <v>26.4099027683965</v>
      </c>
      <c r="H43" s="37">
        <f t="shared" si="20"/>
        <v>26.308239538691</v>
      </c>
      <c r="I43" s="37">
        <f t="shared" si="20"/>
        <v>26.2739395189858</v>
      </c>
      <c r="J43" s="37">
        <f t="shared" si="20"/>
        <v>20.9680037477954</v>
      </c>
      <c r="K43" s="37"/>
      <c r="AF43" s="37">
        <f t="shared" si="16"/>
        <v>8.65679871049817</v>
      </c>
      <c r="AV43" s="37"/>
    </row>
    <row r="44" ht="33" spans="2:48">
      <c r="B44" s="75" t="s">
        <v>68</v>
      </c>
      <c r="C44" s="37">
        <f t="shared" ref="C44:K44" si="21">C42*0.9</f>
        <v>24.4685115227143</v>
      </c>
      <c r="D44" s="37">
        <f t="shared" si="21"/>
        <v>23.1334861959599</v>
      </c>
      <c r="E44" s="37">
        <f t="shared" si="21"/>
        <v>16.7430626984127</v>
      </c>
      <c r="F44" s="37">
        <f t="shared" si="21"/>
        <v>32.8047109029404</v>
      </c>
      <c r="G44" s="37">
        <f t="shared" si="21"/>
        <v>25.0199078858494</v>
      </c>
      <c r="H44" s="37">
        <f t="shared" si="21"/>
        <v>24.9235953524441</v>
      </c>
      <c r="I44" s="37">
        <f t="shared" si="21"/>
        <v>24.8911005969339</v>
      </c>
      <c r="J44" s="37">
        <f t="shared" si="21"/>
        <v>19.8644246031746</v>
      </c>
      <c r="K44" s="37"/>
      <c r="L44" s="88"/>
      <c r="M44" s="88"/>
      <c r="AF44" s="37">
        <f t="shared" si="16"/>
        <v>8.20117772573511</v>
      </c>
      <c r="AV44" s="37"/>
    </row>
    <row r="45" s="49" customFormat="1" ht="49.5" spans="1:48">
      <c r="A45" s="51"/>
      <c r="B45" s="51" t="s">
        <v>69</v>
      </c>
      <c r="C45" s="55">
        <f>一些设定!C8*1/'枪械实际规格（德系）'!B2</f>
        <v>1.19483235471453</v>
      </c>
      <c r="D45" s="55">
        <f>一些设定!N8*1/'枪械实际规格（德系）'!C2</f>
        <v>0.853601522957937</v>
      </c>
      <c r="E45" s="55">
        <f>一些设定!N8*1/'枪械实际规格（德系）'!D2</f>
        <v>3.45795718994185</v>
      </c>
      <c r="F45" s="55">
        <f>一些设定!C8*1/'枪械实际规格（德系）'!E2</f>
        <v>0.422311435718065</v>
      </c>
      <c r="G45" s="55">
        <f>一些设定!H8*1/'枪械实际规格（德系）'!F2</f>
        <v>0.837231979912391</v>
      </c>
      <c r="H45" s="55">
        <f>一些设定!C8*1/'枪械实际规格（德系）'!G2</f>
        <v>1.11336651234763</v>
      </c>
      <c r="I45" s="55">
        <f>一些设定!C8*1/'枪械实际规格（德系）'!H2</f>
        <v>0.989659122086779</v>
      </c>
      <c r="J45" s="55">
        <v>0.05</v>
      </c>
      <c r="K45" s="55"/>
      <c r="AF45" s="55">
        <f t="shared" si="16"/>
        <v>0.105577858929516</v>
      </c>
      <c r="AV45" s="55"/>
    </row>
    <row r="46" ht="49.5" spans="2:48">
      <c r="B46" s="41" t="s">
        <v>70</v>
      </c>
      <c r="C46" s="37">
        <f t="shared" ref="C46:K46" si="22">C32/2/100/3</f>
        <v>0.327465945945946</v>
      </c>
      <c r="D46" s="37">
        <f t="shared" si="22"/>
        <v>0.308593454981993</v>
      </c>
      <c r="E46" s="37">
        <f t="shared" si="22"/>
        <v>0.223373111111111</v>
      </c>
      <c r="F46" s="37">
        <f t="shared" si="22"/>
        <v>0.43792524590164</v>
      </c>
      <c r="G46" s="37">
        <f t="shared" si="22"/>
        <v>0.334127872340425</v>
      </c>
      <c r="H46" s="37">
        <f t="shared" si="22"/>
        <v>0.33340778761062</v>
      </c>
      <c r="I46" s="37">
        <f t="shared" si="22"/>
        <v>0.33246923076923</v>
      </c>
      <c r="J46" s="37">
        <f t="shared" si="22"/>
        <v>0.27015</v>
      </c>
      <c r="K46" s="37"/>
      <c r="AF46" s="37">
        <f t="shared" si="16"/>
        <v>0.10948131147541</v>
      </c>
      <c r="AV46" s="37"/>
    </row>
    <row r="47" ht="49.5" spans="2:48">
      <c r="B47" s="41" t="s">
        <v>71</v>
      </c>
      <c r="C47" s="37">
        <f t="shared" ref="C47:K47" si="23">C30/10/3</f>
        <v>7.27702102102101</v>
      </c>
      <c r="D47" s="37">
        <f t="shared" si="23"/>
        <v>6.85763233293317</v>
      </c>
      <c r="E47" s="37">
        <f t="shared" si="23"/>
        <v>4.96384691358024</v>
      </c>
      <c r="F47" s="37">
        <f t="shared" si="23"/>
        <v>9.73167213114755</v>
      </c>
      <c r="G47" s="37">
        <f t="shared" si="23"/>
        <v>7.42506382978723</v>
      </c>
      <c r="H47" s="37">
        <f t="shared" si="23"/>
        <v>7.40906194690267</v>
      </c>
      <c r="I47" s="37">
        <f t="shared" si="23"/>
        <v>7.38820512820512</v>
      </c>
      <c r="J47" s="37">
        <f t="shared" si="23"/>
        <v>6.00333333333333</v>
      </c>
      <c r="K47" s="37"/>
      <c r="AF47" s="37">
        <f t="shared" si="16"/>
        <v>2.43291803278689</v>
      </c>
      <c r="AV47" s="37"/>
    </row>
    <row r="48" ht="49.5" spans="2:48">
      <c r="B48" s="41" t="s">
        <v>72</v>
      </c>
      <c r="C48" s="37">
        <f t="shared" ref="C48:K48" si="24">3.5+1/(C32/3)*20</f>
        <v>3.80537526493368</v>
      </c>
      <c r="D48" s="37">
        <f t="shared" si="24"/>
        <v>3.82405094270659</v>
      </c>
      <c r="E48" s="37">
        <f t="shared" si="24"/>
        <v>3.94768145773041</v>
      </c>
      <c r="F48" s="37">
        <f t="shared" si="24"/>
        <v>3.72834947502081</v>
      </c>
      <c r="G48" s="37">
        <f t="shared" si="24"/>
        <v>3.79928661532946</v>
      </c>
      <c r="H48" s="37">
        <f t="shared" si="24"/>
        <v>3.79993300611439</v>
      </c>
      <c r="I48" s="37">
        <f t="shared" si="24"/>
        <v>3.80077971356517</v>
      </c>
      <c r="J48" s="37">
        <f t="shared" si="24"/>
        <v>3.87016472330187</v>
      </c>
      <c r="K48" s="37"/>
      <c r="AF48" s="37">
        <f>F48*4</f>
        <v>14.9133979000833</v>
      </c>
      <c r="AV48" s="37"/>
    </row>
    <row r="49" ht="33" spans="2:48">
      <c r="B49" s="41" t="s">
        <v>73</v>
      </c>
      <c r="C49" s="37">
        <v>1.05</v>
      </c>
      <c r="D49" s="37">
        <v>1.05</v>
      </c>
      <c r="E49" s="37">
        <v>1.05</v>
      </c>
      <c r="F49" s="37">
        <v>1.05</v>
      </c>
      <c r="G49" s="37">
        <v>1.05</v>
      </c>
      <c r="H49" s="37">
        <v>1.05</v>
      </c>
      <c r="I49" s="37">
        <v>1.05</v>
      </c>
      <c r="J49" s="37">
        <v>1.05</v>
      </c>
      <c r="K49" s="37"/>
      <c r="AF49" s="37">
        <v>1.05</v>
      </c>
      <c r="AV49" s="37"/>
    </row>
    <row r="50" ht="33" spans="2:48">
      <c r="B50" s="41" t="s">
        <v>74</v>
      </c>
      <c r="C50" s="37">
        <v>1.1</v>
      </c>
      <c r="D50" s="37">
        <v>1.1</v>
      </c>
      <c r="E50" s="37">
        <v>1.1</v>
      </c>
      <c r="F50" s="37">
        <v>1.1</v>
      </c>
      <c r="G50" s="37">
        <v>1.1</v>
      </c>
      <c r="H50" s="37">
        <v>1.1</v>
      </c>
      <c r="I50" s="37">
        <v>1.1</v>
      </c>
      <c r="J50" s="37">
        <v>1.1</v>
      </c>
      <c r="K50" s="37"/>
      <c r="AF50" s="37">
        <v>1.1</v>
      </c>
      <c r="AV50" s="37"/>
    </row>
    <row r="51" s="49" customFormat="1" ht="49.5" spans="1:48">
      <c r="A51" s="48" t="s">
        <v>75</v>
      </c>
      <c r="B51" s="51" t="s">
        <v>76</v>
      </c>
      <c r="C51" s="52">
        <f>(-(一些设定!C8^0.25*40)+('枪械实际规格（德系）'!B2^0.25*20)+('枪械实际规格（德系）'!B3^0.125*5))*1.5-C30/1.5</f>
        <v>-174.09597640548</v>
      </c>
      <c r="D51" s="52">
        <f>(-(一些设定!N8^0.25*40)+('枪械实际规格（德系）'!C2^0.25*20)+('枪械实际规格（德系）'!C3^0.125*5))*1.5-D30/1.5</f>
        <v>-158.829500034606</v>
      </c>
      <c r="E51" s="52">
        <f>(-(一些设定!N8^0.25*40)+('枪械实际规格（德系）'!D2^0.25*20)+('枪械实际规格（德系）'!D3^0.125*5))*1.5-E30/1.5</f>
        <v>-136.150451206744</v>
      </c>
      <c r="F51" s="52">
        <f>(-(一些设定!C8^0.25*40)+('枪械实际规格（德系）'!E2^0.25*20)+('枪械实际规格（德系）'!E3^0.125*5))*1.5-F30/1.5</f>
        <v>-210.298974478919</v>
      </c>
      <c r="G51" s="52">
        <f>(-(一些设定!H8^0.25*40)+('枪械实际规格（德系）'!F2^0.25*20)+('枪械实际规格（德系）'!F3^0.125*5))*1.5-G30/1.5</f>
        <v>-172.079538782016</v>
      </c>
      <c r="H51" s="52">
        <f>(-(一些设定!C8^0.25*40)+('枪械实际规格（德系）'!G2^0.25*20)+('枪械实际规格（德系）'!G3^0.125*5))*1.5-H30/1.5</f>
        <v>-175.936185900086</v>
      </c>
      <c r="I51" s="52">
        <f>(-(一些设定!C8^0.25*40)+('枪械实际规格（德系）'!H2^0.25*20)+('枪械实际规格（德系）'!H3^0.125*5))*1.5-I30/1.5</f>
        <v>-174.55061677296</v>
      </c>
      <c r="J51" s="52">
        <v>-1</v>
      </c>
      <c r="K51" s="52"/>
      <c r="AF51" s="55">
        <f t="shared" ref="AF51:AF56" si="25">F51*0.25</f>
        <v>-52.5747436197298</v>
      </c>
      <c r="AV51" s="52"/>
    </row>
    <row r="52" ht="49.5" spans="2:48">
      <c r="B52" s="41" t="s">
        <v>77</v>
      </c>
      <c r="C52" s="36">
        <f t="shared" ref="C52:K52" si="26">C51*1.5</f>
        <v>-261.14396460822</v>
      </c>
      <c r="D52" s="36">
        <f t="shared" si="26"/>
        <v>-238.244250051909</v>
      </c>
      <c r="E52" s="36">
        <f t="shared" si="26"/>
        <v>-204.225676810116</v>
      </c>
      <c r="F52" s="36">
        <f t="shared" si="26"/>
        <v>-315.448461718379</v>
      </c>
      <c r="G52" s="36">
        <f t="shared" si="26"/>
        <v>-258.119308173024</v>
      </c>
      <c r="H52" s="36">
        <f t="shared" si="26"/>
        <v>-263.904278850129</v>
      </c>
      <c r="I52" s="36">
        <f t="shared" si="26"/>
        <v>-261.82592515944</v>
      </c>
      <c r="J52" s="36">
        <f t="shared" si="26"/>
        <v>-1.5</v>
      </c>
      <c r="K52" s="36"/>
      <c r="AF52" s="37">
        <f t="shared" si="25"/>
        <v>-78.8621154295947</v>
      </c>
      <c r="AV52" s="36"/>
    </row>
    <row r="53" ht="49.5" spans="2:48">
      <c r="B53" s="41" t="s">
        <v>78</v>
      </c>
      <c r="C53" s="36">
        <f t="shared" ref="C53:K53" si="27">-C51*1.1</f>
        <v>191.505574046028</v>
      </c>
      <c r="D53" s="36">
        <f t="shared" si="27"/>
        <v>174.712450038067</v>
      </c>
      <c r="E53" s="36">
        <f t="shared" si="27"/>
        <v>149.765496327419</v>
      </c>
      <c r="F53" s="36">
        <f t="shared" si="27"/>
        <v>231.328871926811</v>
      </c>
      <c r="G53" s="36">
        <f t="shared" si="27"/>
        <v>189.287492660218</v>
      </c>
      <c r="H53" s="36">
        <f t="shared" si="27"/>
        <v>193.529804490095</v>
      </c>
      <c r="I53" s="36">
        <f t="shared" si="27"/>
        <v>192.005678450256</v>
      </c>
      <c r="J53" s="36">
        <f t="shared" si="27"/>
        <v>1.1</v>
      </c>
      <c r="K53" s="36"/>
      <c r="AF53" s="37">
        <f t="shared" si="25"/>
        <v>57.8322179817028</v>
      </c>
      <c r="AV53" s="36"/>
    </row>
    <row r="54" ht="49.5" spans="2:48">
      <c r="B54" s="41" t="s">
        <v>79</v>
      </c>
      <c r="C54" s="36">
        <f t="shared" ref="C54:K54" si="28">-C52*1.15</f>
        <v>300.315559299453</v>
      </c>
      <c r="D54" s="36">
        <f t="shared" si="28"/>
        <v>273.980887559695</v>
      </c>
      <c r="E54" s="36">
        <f t="shared" si="28"/>
        <v>234.859528331634</v>
      </c>
      <c r="F54" s="36">
        <f t="shared" si="28"/>
        <v>362.765730976136</v>
      </c>
      <c r="G54" s="36">
        <f t="shared" si="28"/>
        <v>296.837204398978</v>
      </c>
      <c r="H54" s="36">
        <f t="shared" si="28"/>
        <v>303.489920677648</v>
      </c>
      <c r="I54" s="36">
        <f t="shared" si="28"/>
        <v>301.099813933356</v>
      </c>
      <c r="J54" s="36">
        <f t="shared" si="28"/>
        <v>1.725</v>
      </c>
      <c r="K54" s="36"/>
      <c r="AF54" s="37">
        <f t="shared" si="25"/>
        <v>90.6914327440339</v>
      </c>
      <c r="AV54" s="36"/>
    </row>
    <row r="55" ht="49.5" spans="2:48">
      <c r="B55" s="41" t="s">
        <v>80</v>
      </c>
      <c r="C55" s="36">
        <f t="shared" ref="C55:K55" si="29">-C51*1.05</f>
        <v>182.800775225754</v>
      </c>
      <c r="D55" s="36">
        <f t="shared" si="29"/>
        <v>166.770975036336</v>
      </c>
      <c r="E55" s="36">
        <f t="shared" si="29"/>
        <v>142.957973767082</v>
      </c>
      <c r="F55" s="36">
        <f t="shared" si="29"/>
        <v>220.813923202865</v>
      </c>
      <c r="G55" s="36">
        <f t="shared" si="29"/>
        <v>180.683515721117</v>
      </c>
      <c r="H55" s="36">
        <f t="shared" si="29"/>
        <v>184.73299519509</v>
      </c>
      <c r="I55" s="36">
        <f t="shared" si="29"/>
        <v>183.278147611608</v>
      </c>
      <c r="J55" s="36">
        <f t="shared" si="29"/>
        <v>1.05</v>
      </c>
      <c r="K55" s="36"/>
      <c r="AF55" s="37">
        <f t="shared" si="25"/>
        <v>55.2034808007163</v>
      </c>
      <c r="AV55" s="36"/>
    </row>
    <row r="56" ht="49.5" spans="2:48">
      <c r="B56" s="41" t="s">
        <v>81</v>
      </c>
      <c r="C56" s="36">
        <f t="shared" ref="C56:K56" si="30">-C52*1.1</f>
        <v>287.258361069042</v>
      </c>
      <c r="D56" s="36">
        <f t="shared" si="30"/>
        <v>262.0686750571</v>
      </c>
      <c r="E56" s="36">
        <f t="shared" si="30"/>
        <v>224.648244491128</v>
      </c>
      <c r="F56" s="36">
        <f t="shared" si="30"/>
        <v>346.993307890217</v>
      </c>
      <c r="G56" s="36">
        <f t="shared" si="30"/>
        <v>283.931238990326</v>
      </c>
      <c r="H56" s="36">
        <f t="shared" si="30"/>
        <v>290.294706735142</v>
      </c>
      <c r="I56" s="36">
        <f t="shared" si="30"/>
        <v>288.008517675384</v>
      </c>
      <c r="J56" s="36">
        <f t="shared" si="30"/>
        <v>1.65</v>
      </c>
      <c r="K56" s="36"/>
      <c r="AF56" s="37">
        <f t="shared" si="25"/>
        <v>86.7483269725542</v>
      </c>
      <c r="AV56" s="36"/>
    </row>
    <row r="57" ht="49.5" spans="2:48">
      <c r="B57" s="41" t="s">
        <v>82</v>
      </c>
      <c r="C57" s="36">
        <f>-100+1/((C30/3)^2)*300000+'枪械实际规格（德系）'!B2^2+'枪械实际规格（德系）'!B3^2/1000</f>
        <v>1205.56183685324</v>
      </c>
      <c r="D57" s="36">
        <f>-100+1/((D30/3)^2)*300000+'枪械实际规格（德系）'!C2^2+'枪械实际规格（德系）'!C3^2/1000</f>
        <v>673.442875682438</v>
      </c>
      <c r="E57" s="36">
        <f>-100+1/((E30/3)^2)*300000+'枪械实际规格（德系）'!D2^2+'枪械实际规格（德系）'!D3^2/1000</f>
        <v>69.3707527143447</v>
      </c>
      <c r="F57" s="36">
        <f>-100+1/((F30/3)^2)*300000+'枪械实际规格（德系）'!E2^2+'枪械实际规格（德系）'!E3^2/1000</f>
        <v>1554.63716576594</v>
      </c>
      <c r="G57" s="36">
        <f>-100+1/((G30/3)^2)*300000+'枪械实际规格（德系）'!F2^2+'枪械实际规格（德系）'!F3^2/1000</f>
        <v>864.332180455084</v>
      </c>
      <c r="H57" s="36">
        <f>-100+1/((H30/3)^2)*300000+'枪械实际规格（德系）'!G2^2+'枪械实际规格（德系）'!G3^2/1000</f>
        <v>1250.91058345526</v>
      </c>
      <c r="I57" s="36">
        <f>-100+1/((I30/3)^2)*300000+'枪械实际规格（德系）'!H2^2+'枪械实际规格（德系）'!H3^2/1000</f>
        <v>930.087074926098</v>
      </c>
      <c r="J57" s="36">
        <f>-100+1/((J30/3)^2)*300000+'枪械实际规格（德系）'!I2^2+'枪械实际规格（德系）'!I3^2/1000</f>
        <v>25.4908178441183</v>
      </c>
      <c r="K57" s="36"/>
      <c r="AF57" s="36">
        <f>F57*4</f>
        <v>6218.54866306374</v>
      </c>
      <c r="AV57" s="36"/>
    </row>
    <row r="58" ht="49.5" spans="2:48">
      <c r="B58" s="41" t="s">
        <v>83</v>
      </c>
      <c r="C58" s="36">
        <f>-100+1/((C32/3)^2)*300000+'枪械实际规格（德系）'!B2^2+'枪械实际规格（德系）'!B3^2/1000</f>
        <v>1218.85053932498</v>
      </c>
      <c r="D58" s="36">
        <f>-100+1/((D32/3)^2)*300000+'枪械实际规格（德系）'!C2^2+'枪械实际规格（德系）'!C3^2/1000</f>
        <v>688.406660101775</v>
      </c>
      <c r="E58" s="36">
        <f>-100+1/((E32/3)^2)*300000+'枪械实际规格（德系）'!D2^2+'枪械实际规格（德系）'!D3^2/1000</f>
        <v>97.9304156967219</v>
      </c>
      <c r="F58" s="36">
        <f>-100+1/((F32/3)^2)*300000+'枪械实际规格（德系）'!E2^2+'枪械实际规格（德系）'!E3^2/1000</f>
        <v>1562.06761205671</v>
      </c>
      <c r="G58" s="36">
        <f>-100+1/((G32/3)^2)*300000+'枪械实际规格（德系）'!F2^2+'枪械实际规格（德系）'!F3^2/1000</f>
        <v>877.096258586524</v>
      </c>
      <c r="H58" s="36">
        <f>-100+1/((H32/3)^2)*300000+'枪械实际规格（德系）'!G2^2+'枪械实际规格（德系）'!G3^2/1000</f>
        <v>1263.72985611761</v>
      </c>
      <c r="I58" s="36">
        <f>-100+1/((I32/3)^2)*300000+'枪械实际规格（德系）'!H2^2+'枪械实际规格（德系）'!H3^2/1000</f>
        <v>942.978827069257</v>
      </c>
      <c r="J58" s="36">
        <f>-100+1/((J32/3)^2)*300000+'枪械实际规格（德系）'!I2^2+'枪械实际规格（德系）'!I3^2/1000</f>
        <v>45.0164417828621</v>
      </c>
      <c r="K58" s="36"/>
      <c r="AF58" s="36">
        <f>F58*4</f>
        <v>6248.27044822684</v>
      </c>
      <c r="AV58" s="36"/>
    </row>
    <row r="59" ht="49.5" spans="2:48">
      <c r="B59" s="41" t="s">
        <v>84</v>
      </c>
      <c r="C59" s="36">
        <v>0</v>
      </c>
      <c r="D59" s="36">
        <v>0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/>
      <c r="AF59" s="36">
        <v>0</v>
      </c>
      <c r="AV59" s="41"/>
    </row>
    <row r="60" ht="49.5" spans="2:48">
      <c r="B60" s="41" t="s">
        <v>85</v>
      </c>
      <c r="C60" s="36">
        <v>75</v>
      </c>
      <c r="D60" s="36">
        <v>75</v>
      </c>
      <c r="E60" s="36">
        <v>75</v>
      </c>
      <c r="F60" s="36">
        <v>75</v>
      </c>
      <c r="G60" s="36">
        <v>75</v>
      </c>
      <c r="H60" s="36">
        <v>75</v>
      </c>
      <c r="I60" s="36">
        <v>75</v>
      </c>
      <c r="J60" s="36">
        <v>75</v>
      </c>
      <c r="K60" s="36"/>
      <c r="AF60" s="36">
        <v>75</v>
      </c>
      <c r="AV60" s="41"/>
    </row>
    <row r="61" ht="33" spans="2:48">
      <c r="B61" s="41" t="s">
        <v>86</v>
      </c>
      <c r="C61" s="36">
        <f>一些设定!C8*10-'枪械实际规格（德系）'!B2-25</f>
        <v>19.8881265432955</v>
      </c>
      <c r="D61" s="36">
        <f>一些设定!N8*10-'枪械实际规格（德系）'!C2-25</f>
        <v>4.9179804614301</v>
      </c>
      <c r="E61" s="36">
        <f>一些设定!N8*10-'枪械实际规格（德系）'!D2-25</f>
        <v>7.9079804614301</v>
      </c>
      <c r="F61" s="36">
        <f>一些设定!C8*10-'枪械实际规格（德系）'!E2-25</f>
        <v>12.3881265432955</v>
      </c>
      <c r="G61" s="36">
        <f>一些设定!H8*10-'枪械实际规格（德系）'!F2-25</f>
        <v>12.8200005695057</v>
      </c>
      <c r="H61" s="36">
        <f>一些设定!C8*10-'枪械实际规格（德系）'!G2-25</f>
        <v>19.5881265432955</v>
      </c>
      <c r="I61" s="36">
        <f>一些设定!C8*10-'枪械实际规格（德系）'!H2-25</f>
        <v>19.0381265432955</v>
      </c>
      <c r="J61" s="36">
        <v>1</v>
      </c>
      <c r="K61" s="36"/>
      <c r="AF61" s="37">
        <f t="shared" ref="AF61" si="31">F61*0.25</f>
        <v>3.09703163582387</v>
      </c>
      <c r="AV61" s="36"/>
    </row>
    <row r="62" s="49" customFormat="1" ht="33" spans="1:48">
      <c r="A62" s="48" t="s">
        <v>87</v>
      </c>
      <c r="B62" s="51" t="s">
        <v>88</v>
      </c>
      <c r="C62" s="55">
        <f>1/('枪械实际规格（德系）'!B4/60)</f>
        <v>0.3</v>
      </c>
      <c r="D62" s="55">
        <f>1/('枪械实际规格（德系）'!C4/60)</f>
        <v>0.109090909090909</v>
      </c>
      <c r="E62" s="55">
        <f>1/('枪械实际规格（德系）'!D4/60)</f>
        <v>0.15</v>
      </c>
      <c r="F62" s="55">
        <f>1/('枪械实际规格（德系）'!E4/60)</f>
        <v>0.05</v>
      </c>
      <c r="G62" s="55">
        <f>1/('枪械实际规格（德系）'!F4/60)</f>
        <v>0.1</v>
      </c>
      <c r="H62" s="55">
        <f>1/('枪械实际规格（德系）'!G4/60)</f>
        <v>0.15</v>
      </c>
      <c r="I62" s="55">
        <f>1/('枪械实际规格（德系）'!H4/60)</f>
        <v>0.08</v>
      </c>
      <c r="J62" s="55">
        <f>1/('枪械实际规格（德系）'!I4/60)</f>
        <v>0.15</v>
      </c>
      <c r="K62" s="55"/>
      <c r="AF62" s="55">
        <v>0.05</v>
      </c>
      <c r="AV62" s="55"/>
    </row>
    <row r="63" spans="2:48">
      <c r="B63" s="41" t="s">
        <v>89</v>
      </c>
      <c r="C63" s="37">
        <f t="shared" ref="C63:F63" si="32">C28*1.25</f>
        <v>0.34111036036036</v>
      </c>
      <c r="D63" s="37">
        <f t="shared" si="32"/>
        <v>0.321451515606243</v>
      </c>
      <c r="E63" s="37">
        <f t="shared" si="32"/>
        <v>0.232680324074074</v>
      </c>
      <c r="F63" s="37">
        <f t="shared" si="32"/>
        <v>0.456172131147541</v>
      </c>
      <c r="G63" s="37">
        <f t="shared" ref="G63:K63" si="33">G28*1.25</f>
        <v>0.348049867021276</v>
      </c>
      <c r="H63" s="37">
        <f t="shared" si="33"/>
        <v>0.347299778761063</v>
      </c>
      <c r="I63" s="37">
        <f t="shared" si="33"/>
        <v>0.346322115384615</v>
      </c>
      <c r="J63" s="37">
        <f t="shared" si="33"/>
        <v>0.28140625</v>
      </c>
      <c r="K63" s="37"/>
      <c r="AF63" s="37">
        <f t="shared" ref="AF63:AF65" si="34">F63*0.25</f>
        <v>0.114043032786885</v>
      </c>
      <c r="AV63" s="37"/>
    </row>
    <row r="64" spans="2:48">
      <c r="B64" s="41" t="s">
        <v>90</v>
      </c>
      <c r="C64" s="56">
        <f t="shared" ref="C64:F64" si="35">C29*1.25</f>
        <v>0.25583277027027</v>
      </c>
      <c r="D64" s="56">
        <f t="shared" si="35"/>
        <v>0.241088636704682</v>
      </c>
      <c r="E64" s="56">
        <f t="shared" si="35"/>
        <v>0.174510243055556</v>
      </c>
      <c r="F64" s="56">
        <f t="shared" si="35"/>
        <v>0.342129098360656</v>
      </c>
      <c r="G64" s="56">
        <f t="shared" ref="G64:K64" si="36">G29*1.25</f>
        <v>0.261037400265957</v>
      </c>
      <c r="H64" s="56">
        <f t="shared" si="36"/>
        <v>0.260474834070797</v>
      </c>
      <c r="I64" s="56">
        <f t="shared" si="36"/>
        <v>0.259741586538461</v>
      </c>
      <c r="J64" s="56">
        <f t="shared" si="36"/>
        <v>0.2110546875</v>
      </c>
      <c r="K64" s="56"/>
      <c r="AF64" s="37">
        <f t="shared" si="34"/>
        <v>0.0855322745901639</v>
      </c>
      <c r="AV64" s="37"/>
    </row>
    <row r="65" ht="33" spans="2:48">
      <c r="B65" s="41" t="s">
        <v>91</v>
      </c>
      <c r="C65" s="56">
        <f t="shared" ref="C65:F65" si="37">C63*1.25</f>
        <v>0.42638795045045</v>
      </c>
      <c r="D65" s="56">
        <f t="shared" si="37"/>
        <v>0.401814394507803</v>
      </c>
      <c r="E65" s="56">
        <f t="shared" si="37"/>
        <v>0.290850405092593</v>
      </c>
      <c r="F65" s="56">
        <f t="shared" si="37"/>
        <v>0.570215163934426</v>
      </c>
      <c r="G65" s="56">
        <f t="shared" ref="G65:K65" si="38">G63*1.25</f>
        <v>0.435062333776595</v>
      </c>
      <c r="H65" s="56">
        <f t="shared" si="38"/>
        <v>0.434124723451328</v>
      </c>
      <c r="I65" s="56">
        <f t="shared" si="38"/>
        <v>0.432902644230769</v>
      </c>
      <c r="J65" s="56">
        <f t="shared" si="38"/>
        <v>0.3517578125</v>
      </c>
      <c r="K65" s="56"/>
      <c r="AF65" s="37">
        <f t="shared" si="34"/>
        <v>0.142553790983607</v>
      </c>
      <c r="AV65" s="37"/>
    </row>
    <row r="66" s="49" customFormat="1" ht="45" spans="1:48">
      <c r="A66" s="48" t="s">
        <v>92</v>
      </c>
      <c r="B66" s="51" t="s">
        <v>93</v>
      </c>
      <c r="C66" s="57">
        <f t="shared" ref="C66:I66" si="39">C13</f>
        <v>396</v>
      </c>
      <c r="D66" s="57">
        <f t="shared" si="39"/>
        <v>168.75</v>
      </c>
      <c r="E66" s="57">
        <f t="shared" si="39"/>
        <v>168.75</v>
      </c>
      <c r="F66" s="57">
        <f t="shared" si="39"/>
        <v>396</v>
      </c>
      <c r="G66" s="57">
        <f t="shared" si="39"/>
        <v>287.1</v>
      </c>
      <c r="H66" s="57">
        <f t="shared" si="39"/>
        <v>396</v>
      </c>
      <c r="I66" s="57">
        <f t="shared" si="39"/>
        <v>396</v>
      </c>
      <c r="J66" s="89">
        <v>1</v>
      </c>
      <c r="K66" s="57"/>
      <c r="AF66" s="91">
        <v>396</v>
      </c>
      <c r="AV66" s="91"/>
    </row>
    <row r="67" ht="33" spans="2:48">
      <c r="B67" s="41" t="s">
        <v>94</v>
      </c>
      <c r="C67" s="59">
        <f t="shared" ref="C67:I67" si="40">C66</f>
        <v>396</v>
      </c>
      <c r="D67" s="59">
        <f t="shared" si="40"/>
        <v>168.75</v>
      </c>
      <c r="E67" s="59">
        <f t="shared" si="40"/>
        <v>168.75</v>
      </c>
      <c r="F67" s="59">
        <f t="shared" si="40"/>
        <v>396</v>
      </c>
      <c r="G67" s="59">
        <f t="shared" si="40"/>
        <v>287.1</v>
      </c>
      <c r="H67" s="59">
        <f t="shared" si="40"/>
        <v>396</v>
      </c>
      <c r="I67" s="59">
        <f t="shared" si="40"/>
        <v>396</v>
      </c>
      <c r="J67" s="53">
        <v>1</v>
      </c>
      <c r="K67" s="59"/>
      <c r="AF67" s="92">
        <v>396</v>
      </c>
      <c r="AV67" s="92"/>
    </row>
    <row r="68" ht="33" spans="2:48">
      <c r="B68" s="41" t="s">
        <v>95</v>
      </c>
      <c r="C68" s="61">
        <v>0.31</v>
      </c>
      <c r="D68" s="61">
        <v>0.35</v>
      </c>
      <c r="E68" s="61">
        <v>0.35</v>
      </c>
      <c r="F68" s="61">
        <v>0.31</v>
      </c>
      <c r="G68" s="61">
        <v>0.31</v>
      </c>
      <c r="H68" s="61">
        <v>0.31</v>
      </c>
      <c r="I68" s="61">
        <v>0.31</v>
      </c>
      <c r="J68" s="41">
        <v>0.1</v>
      </c>
      <c r="K68" s="61"/>
      <c r="AF68" s="41">
        <v>0.31</v>
      </c>
      <c r="AV68" s="41"/>
    </row>
    <row r="69" ht="33" spans="2:48">
      <c r="B69" s="41" t="s">
        <v>96</v>
      </c>
      <c r="C69" s="62">
        <v>180</v>
      </c>
      <c r="D69" s="62">
        <v>180</v>
      </c>
      <c r="E69" s="62">
        <v>180</v>
      </c>
      <c r="F69" s="62">
        <v>180</v>
      </c>
      <c r="G69" s="62">
        <v>180</v>
      </c>
      <c r="H69" s="62">
        <v>180</v>
      </c>
      <c r="I69" s="62">
        <v>180</v>
      </c>
      <c r="J69" s="53">
        <v>180</v>
      </c>
      <c r="K69" s="62"/>
      <c r="AF69" s="90">
        <v>180</v>
      </c>
      <c r="AV69" s="90"/>
    </row>
    <row r="70" ht="33" spans="2:48">
      <c r="B70" s="41" t="s">
        <v>97</v>
      </c>
      <c r="C70" s="63">
        <f>'枪械实际规格（德系）'!B5</f>
        <v>29921.2</v>
      </c>
      <c r="D70" s="63">
        <f>'枪械实际规格（德系）'!C5</f>
        <v>11811</v>
      </c>
      <c r="E70" s="63">
        <f>'枪械实际规格（德系）'!D5</f>
        <v>14370.05</v>
      </c>
      <c r="F70" s="63">
        <f>'枪械实际规格（德系）'!E5</f>
        <v>29133.8</v>
      </c>
      <c r="G70" s="63">
        <f>'枪械实际规格（德系）'!F5</f>
        <v>26968.45</v>
      </c>
      <c r="H70" s="63">
        <f>'枪械实际规格（德系）'!G5</f>
        <v>30551.12</v>
      </c>
      <c r="I70" s="63">
        <f>'枪械实际规格（德系）'!H5</f>
        <v>29133.8</v>
      </c>
      <c r="J70" s="53">
        <f>'枪械实际规格（德系）'!I5</f>
        <v>2362.2</v>
      </c>
      <c r="K70" s="63"/>
      <c r="AF70" s="53">
        <v>29133.8</v>
      </c>
      <c r="AV70" s="53"/>
    </row>
    <row r="71" ht="33" spans="2:48">
      <c r="B71" s="41" t="s">
        <v>98</v>
      </c>
      <c r="C71" s="62" t="s">
        <v>24</v>
      </c>
      <c r="D71" s="62" t="s">
        <v>24</v>
      </c>
      <c r="E71" s="62" t="s">
        <v>24</v>
      </c>
      <c r="F71" s="62" t="s">
        <v>24</v>
      </c>
      <c r="G71" s="62" t="s">
        <v>24</v>
      </c>
      <c r="H71" s="62" t="s">
        <v>24</v>
      </c>
      <c r="I71" s="62" t="s">
        <v>24</v>
      </c>
      <c r="J71" s="90" t="s">
        <v>24</v>
      </c>
      <c r="K71" s="62"/>
      <c r="AF71" s="90" t="s">
        <v>24</v>
      </c>
      <c r="AV71" s="90"/>
    </row>
    <row r="72" s="49" customFormat="1" ht="33" spans="1:48">
      <c r="A72" s="51"/>
      <c r="B72" s="51" t="s">
        <v>99</v>
      </c>
      <c r="C72" s="64">
        <v>1</v>
      </c>
      <c r="D72" s="64">
        <v>1</v>
      </c>
      <c r="E72" s="64">
        <v>1</v>
      </c>
      <c r="F72" s="64">
        <v>1</v>
      </c>
      <c r="G72" s="64">
        <v>1</v>
      </c>
      <c r="H72" s="64">
        <v>1</v>
      </c>
      <c r="I72" s="64">
        <v>1</v>
      </c>
      <c r="J72" s="51">
        <v>2</v>
      </c>
      <c r="K72" s="64"/>
      <c r="AF72" s="51">
        <v>1</v>
      </c>
      <c r="AV72" s="51"/>
    </row>
    <row r="73" ht="33" spans="2:48">
      <c r="B73" s="41" t="s">
        <v>100</v>
      </c>
      <c r="C73" s="61">
        <v>1</v>
      </c>
      <c r="D73" s="61">
        <v>3</v>
      </c>
      <c r="E73" s="61">
        <v>3</v>
      </c>
      <c r="F73" s="61">
        <v>1</v>
      </c>
      <c r="G73" s="61">
        <v>2</v>
      </c>
      <c r="H73" s="61">
        <v>1</v>
      </c>
      <c r="I73" s="61">
        <v>1</v>
      </c>
      <c r="J73" s="41">
        <v>6</v>
      </c>
      <c r="K73" s="61"/>
      <c r="AF73" s="41">
        <v>1</v>
      </c>
      <c r="AV73" s="41"/>
    </row>
    <row r="74" ht="33" spans="2:48">
      <c r="B74" s="41" t="s">
        <v>101</v>
      </c>
      <c r="C74" s="59">
        <f>100*39.37</f>
        <v>3937</v>
      </c>
      <c r="D74" s="65">
        <f>20*39.37</f>
        <v>787.4</v>
      </c>
      <c r="E74" s="65">
        <f>10*39.37</f>
        <v>393.7</v>
      </c>
      <c r="F74" s="65">
        <f>150*39.37</f>
        <v>5905.5</v>
      </c>
      <c r="G74" s="65">
        <f>50*39.37</f>
        <v>1968.5</v>
      </c>
      <c r="H74" s="59">
        <f>75*39.37</f>
        <v>2952.75</v>
      </c>
      <c r="I74" s="59">
        <f>75*39.37</f>
        <v>2952.75</v>
      </c>
      <c r="J74" s="36">
        <f>10*39.37</f>
        <v>393.7</v>
      </c>
      <c r="K74" s="65"/>
      <c r="AF74" s="36">
        <v>5905.5</v>
      </c>
      <c r="AV74" s="36"/>
    </row>
    <row r="75" ht="33" spans="2:48">
      <c r="B75" s="41" t="s">
        <v>102</v>
      </c>
      <c r="C75" s="61">
        <v>2</v>
      </c>
      <c r="D75" s="61">
        <v>2</v>
      </c>
      <c r="E75" s="61">
        <v>2</v>
      </c>
      <c r="F75" s="61">
        <v>2</v>
      </c>
      <c r="G75" s="61">
        <v>2</v>
      </c>
      <c r="H75" s="61">
        <v>2</v>
      </c>
      <c r="I75" s="61">
        <v>2</v>
      </c>
      <c r="J75" s="41">
        <v>5</v>
      </c>
      <c r="K75" s="61"/>
      <c r="AF75" s="41">
        <v>2</v>
      </c>
      <c r="AV75" s="41"/>
    </row>
    <row r="76" ht="49.5" spans="2:48">
      <c r="B76" s="41" t="s">
        <v>103</v>
      </c>
      <c r="C76" s="61">
        <v>-192</v>
      </c>
      <c r="D76" s="61">
        <v>-192</v>
      </c>
      <c r="E76" s="61">
        <v>-192</v>
      </c>
      <c r="F76" s="61">
        <v>-192</v>
      </c>
      <c r="G76" s="61">
        <v>-192</v>
      </c>
      <c r="H76" s="61">
        <v>-192</v>
      </c>
      <c r="I76" s="61">
        <v>-192</v>
      </c>
      <c r="J76" s="41">
        <v>0</v>
      </c>
      <c r="K76" s="61"/>
      <c r="AF76" s="41">
        <v>-192</v>
      </c>
      <c r="AV76" s="41"/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7"/>
  <sheetViews>
    <sheetView zoomScale="85" zoomScaleNormal="85" topLeftCell="B1" workbookViewId="0">
      <pane xSplit="1" ySplit="1" topLeftCell="C17" activePane="bottomRight" state="frozen"/>
      <selection/>
      <selection pane="topRight"/>
      <selection pane="bottomLeft"/>
      <selection pane="bottomRight" activeCell="I30" sqref="I30"/>
    </sheetView>
  </sheetViews>
  <sheetFormatPr defaultColWidth="8.125" defaultRowHeight="13.5"/>
  <cols>
    <col min="1" max="1" width="15.5" customWidth="1"/>
    <col min="2" max="2" width="23.4666666666667" customWidth="1"/>
    <col min="3" max="3" width="16.25" customWidth="1"/>
    <col min="4" max="4" width="13" customWidth="1"/>
    <col min="5" max="5" width="15.875" customWidth="1"/>
    <col min="6" max="6" width="13.375" customWidth="1"/>
    <col min="7" max="7" width="12.75" customWidth="1"/>
    <col min="8" max="8" width="13.5" customWidth="1"/>
    <col min="9" max="9" width="16.25" customWidth="1"/>
    <col min="10" max="10" width="15.875" customWidth="1"/>
    <col min="11" max="12" width="15.625" customWidth="1"/>
  </cols>
  <sheetData>
    <row r="1" ht="30" spans="1:13">
      <c r="A1" s="1"/>
      <c r="B1" s="1"/>
      <c r="C1" s="40" t="s">
        <v>117</v>
      </c>
      <c r="D1" s="40" t="s">
        <v>118</v>
      </c>
      <c r="E1" s="40" t="s">
        <v>119</v>
      </c>
      <c r="F1" s="40" t="s">
        <v>120</v>
      </c>
      <c r="G1" s="40" t="s">
        <v>121</v>
      </c>
      <c r="H1" s="40" t="s">
        <v>122</v>
      </c>
      <c r="I1" s="40"/>
      <c r="J1" s="40" t="s">
        <v>123</v>
      </c>
      <c r="K1" s="40"/>
      <c r="L1" s="40"/>
      <c r="M1" s="40"/>
    </row>
    <row r="2" s="66" customFormat="1" ht="30" spans="1:16">
      <c r="A2" s="48" t="s">
        <v>9</v>
      </c>
      <c r="B2" s="68" t="s">
        <v>10</v>
      </c>
      <c r="C2" s="68" t="s">
        <v>11</v>
      </c>
      <c r="D2" s="68" t="s">
        <v>11</v>
      </c>
      <c r="E2" s="68" t="s">
        <v>11</v>
      </c>
      <c r="F2" s="68" t="s">
        <v>11</v>
      </c>
      <c r="G2" s="68" t="s">
        <v>11</v>
      </c>
      <c r="H2" s="68" t="s">
        <v>11</v>
      </c>
      <c r="I2" s="68"/>
      <c r="J2" s="68" t="s">
        <v>11</v>
      </c>
      <c r="K2" s="68"/>
      <c r="L2" s="68"/>
      <c r="M2" s="68"/>
      <c r="N2"/>
      <c r="O2"/>
      <c r="P2"/>
    </row>
    <row r="3" ht="16.5" spans="2:10">
      <c r="B3" s="2" t="s">
        <v>12</v>
      </c>
      <c r="C3" s="2" t="s">
        <v>14</v>
      </c>
      <c r="D3" s="2" t="s">
        <v>13</v>
      </c>
      <c r="E3" s="2" t="s">
        <v>13</v>
      </c>
      <c r="F3" s="2" t="s">
        <v>15</v>
      </c>
      <c r="G3" s="2" t="s">
        <v>14</v>
      </c>
      <c r="H3" s="2" t="s">
        <v>14</v>
      </c>
      <c r="I3" s="2"/>
      <c r="J3" s="2" t="s">
        <v>124</v>
      </c>
    </row>
    <row r="4" ht="16.5" spans="1:10">
      <c r="A4" s="2"/>
      <c r="B4" s="2" t="s">
        <v>16</v>
      </c>
      <c r="C4" s="2" t="s">
        <v>18</v>
      </c>
      <c r="D4" s="2" t="s">
        <v>17</v>
      </c>
      <c r="E4" s="2" t="s">
        <v>17</v>
      </c>
      <c r="F4" s="2" t="s">
        <v>18</v>
      </c>
      <c r="G4" s="2" t="s">
        <v>18</v>
      </c>
      <c r="H4" s="2" t="s">
        <v>18</v>
      </c>
      <c r="I4" s="2"/>
      <c r="J4" s="2" t="s">
        <v>125</v>
      </c>
    </row>
    <row r="5" ht="16.5" spans="1:10">
      <c r="A5" s="2"/>
      <c r="B5" s="2" t="s">
        <v>19</v>
      </c>
      <c r="C5" s="2" t="s">
        <v>21</v>
      </c>
      <c r="D5" s="2" t="s">
        <v>20</v>
      </c>
      <c r="E5" s="2" t="s">
        <v>20</v>
      </c>
      <c r="F5" s="2" t="s">
        <v>21</v>
      </c>
      <c r="G5" s="2" t="s">
        <v>21</v>
      </c>
      <c r="H5" s="2" t="s">
        <v>21</v>
      </c>
      <c r="I5" s="2"/>
      <c r="J5" s="2" t="s">
        <v>115</v>
      </c>
    </row>
    <row r="6" ht="33" spans="1:10">
      <c r="A6" s="2"/>
      <c r="B6" s="41" t="s">
        <v>22</v>
      </c>
      <c r="C6" s="2" t="s">
        <v>24</v>
      </c>
      <c r="D6" s="2" t="s">
        <v>23</v>
      </c>
      <c r="E6" s="2" t="s">
        <v>23</v>
      </c>
      <c r="F6" s="2" t="s">
        <v>24</v>
      </c>
      <c r="G6" s="2" t="s">
        <v>24</v>
      </c>
      <c r="H6" s="2" t="s">
        <v>24</v>
      </c>
      <c r="I6" s="2"/>
      <c r="J6" s="2" t="s">
        <v>24</v>
      </c>
    </row>
    <row r="7" ht="33" spans="1:10">
      <c r="A7" s="2"/>
      <c r="B7" s="41" t="s">
        <v>25</v>
      </c>
      <c r="C7" s="2" t="s">
        <v>23</v>
      </c>
      <c r="D7" s="2" t="s">
        <v>23</v>
      </c>
      <c r="E7" s="2" t="s">
        <v>23</v>
      </c>
      <c r="F7" s="2" t="s">
        <v>23</v>
      </c>
      <c r="G7" s="2" t="s">
        <v>23</v>
      </c>
      <c r="H7" s="2" t="s">
        <v>23</v>
      </c>
      <c r="I7" s="2"/>
      <c r="J7" s="2" t="s">
        <v>23</v>
      </c>
    </row>
    <row r="8" ht="49.5" spans="1:10">
      <c r="A8" s="2"/>
      <c r="B8" s="41" t="s">
        <v>26</v>
      </c>
      <c r="C8" s="2" t="s">
        <v>23</v>
      </c>
      <c r="D8" s="2" t="s">
        <v>23</v>
      </c>
      <c r="E8" s="2" t="s">
        <v>23</v>
      </c>
      <c r="F8" s="2" t="s">
        <v>23</v>
      </c>
      <c r="G8" s="2" t="s">
        <v>23</v>
      </c>
      <c r="H8" s="2" t="s">
        <v>23</v>
      </c>
      <c r="I8" s="2"/>
      <c r="J8" s="2" t="s">
        <v>23</v>
      </c>
    </row>
    <row r="9" ht="33" spans="1:10">
      <c r="A9" s="2"/>
      <c r="B9" s="41" t="s">
        <v>27</v>
      </c>
      <c r="C9" s="2" t="s">
        <v>23</v>
      </c>
      <c r="D9" s="2" t="s">
        <v>23</v>
      </c>
      <c r="E9" s="2" t="s">
        <v>23</v>
      </c>
      <c r="F9" s="2" t="s">
        <v>23</v>
      </c>
      <c r="G9" s="2" t="s">
        <v>23</v>
      </c>
      <c r="H9" s="2" t="s">
        <v>23</v>
      </c>
      <c r="I9" s="2"/>
      <c r="J9" s="2" t="s">
        <v>23</v>
      </c>
    </row>
    <row r="10" ht="33" spans="1:10">
      <c r="A10" s="2"/>
      <c r="B10" s="41" t="s">
        <v>28</v>
      </c>
      <c r="C10" s="2" t="s">
        <v>24</v>
      </c>
      <c r="D10" s="2" t="s">
        <v>24</v>
      </c>
      <c r="E10" s="2" t="s">
        <v>24</v>
      </c>
      <c r="F10" s="2" t="s">
        <v>24</v>
      </c>
      <c r="G10" s="2" t="s">
        <v>24</v>
      </c>
      <c r="H10" s="2" t="s">
        <v>24</v>
      </c>
      <c r="I10" s="2"/>
      <c r="J10" s="2" t="s">
        <v>24</v>
      </c>
    </row>
    <row r="11" ht="33" spans="1:10">
      <c r="A11" s="2"/>
      <c r="B11" s="2" t="s">
        <v>29</v>
      </c>
      <c r="C11" s="41" t="s">
        <v>30</v>
      </c>
      <c r="D11" s="41" t="s">
        <v>31</v>
      </c>
      <c r="E11" s="41" t="s">
        <v>30</v>
      </c>
      <c r="F11" s="41" t="s">
        <v>31</v>
      </c>
      <c r="G11" s="41" t="s">
        <v>30</v>
      </c>
      <c r="H11" s="41" t="s">
        <v>31</v>
      </c>
      <c r="I11" s="41"/>
      <c r="J11" s="41" t="s">
        <v>30</v>
      </c>
    </row>
    <row r="12" ht="16.5" spans="1:10">
      <c r="A12" s="2"/>
      <c r="B12" s="2" t="s">
        <v>32</v>
      </c>
      <c r="C12" s="2" t="s">
        <v>23</v>
      </c>
      <c r="D12" s="2" t="s">
        <v>23</v>
      </c>
      <c r="E12" s="2" t="s">
        <v>23</v>
      </c>
      <c r="F12" s="2" t="s">
        <v>23</v>
      </c>
      <c r="G12" s="2" t="s">
        <v>23</v>
      </c>
      <c r="H12" s="2" t="s">
        <v>23</v>
      </c>
      <c r="I12" s="2"/>
      <c r="J12" s="2" t="s">
        <v>23</v>
      </c>
    </row>
    <row r="13" s="67" customFormat="1" ht="30" spans="1:10">
      <c r="A13" s="48" t="s">
        <v>33</v>
      </c>
      <c r="B13" s="68" t="s">
        <v>34</v>
      </c>
      <c r="C13" s="69">
        <f>一些设定!E6/2</f>
        <v>361.95</v>
      </c>
      <c r="D13" s="69">
        <f>一些设定!M6/2</f>
        <v>209.55</v>
      </c>
      <c r="E13" s="69">
        <f>一些设定!M6/2</f>
        <v>209.55</v>
      </c>
      <c r="F13" s="69">
        <f>一些设定!E6/2</f>
        <v>361.95</v>
      </c>
      <c r="G13" s="69">
        <f>一些设定!E6/2</f>
        <v>361.95</v>
      </c>
      <c r="H13" s="69">
        <f>一些设定!I6/2</f>
        <v>276.225</v>
      </c>
      <c r="I13" s="69"/>
      <c r="J13" s="69">
        <f>一些设定!B6/2</f>
        <v>725</v>
      </c>
    </row>
    <row r="14" ht="49.5" spans="1:10">
      <c r="A14" s="2"/>
      <c r="B14" s="41" t="s">
        <v>35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/>
      <c r="J14" s="2">
        <v>1</v>
      </c>
    </row>
    <row r="15" ht="16.5" spans="1:10">
      <c r="A15" s="2"/>
      <c r="B15" s="2" t="s">
        <v>36</v>
      </c>
      <c r="C15" s="9">
        <f t="shared" ref="C15:E15" si="0">7.62</f>
        <v>7.62</v>
      </c>
      <c r="D15" s="9">
        <f t="shared" si="0"/>
        <v>7.62</v>
      </c>
      <c r="E15" s="9">
        <f t="shared" si="0"/>
        <v>7.62</v>
      </c>
      <c r="F15" s="9">
        <f t="shared" ref="F15:I15" si="1">7.62</f>
        <v>7.62</v>
      </c>
      <c r="G15" s="9">
        <f t="shared" si="1"/>
        <v>7.62</v>
      </c>
      <c r="H15" s="9">
        <f t="shared" si="1"/>
        <v>7.62</v>
      </c>
      <c r="I15" s="9"/>
      <c r="J15" s="9">
        <f>14.5</f>
        <v>14.5</v>
      </c>
    </row>
    <row r="16" ht="49.5" spans="1:10">
      <c r="A16" s="2"/>
      <c r="B16" s="41" t="s">
        <v>37</v>
      </c>
      <c r="C16" s="2">
        <f t="shared" ref="C16" si="2">1000*39.37</f>
        <v>39370</v>
      </c>
      <c r="D16" s="9">
        <f>250*39.37</f>
        <v>9842.5</v>
      </c>
      <c r="E16" s="70">
        <f>100*39.37</f>
        <v>3937</v>
      </c>
      <c r="F16" s="2">
        <f t="shared" ref="F16:G16" si="3">1000*39.37</f>
        <v>39370</v>
      </c>
      <c r="G16" s="2">
        <f t="shared" si="3"/>
        <v>39370</v>
      </c>
      <c r="H16" s="2">
        <f>500*39.37</f>
        <v>19685</v>
      </c>
      <c r="I16" s="2"/>
      <c r="J16" s="2">
        <f>1500*39.37</f>
        <v>59055</v>
      </c>
    </row>
    <row r="17" ht="16.5" spans="1:10">
      <c r="A17" s="2"/>
      <c r="B17" s="2" t="s">
        <v>38</v>
      </c>
      <c r="C17" s="2">
        <v>300</v>
      </c>
      <c r="D17" s="2">
        <v>300</v>
      </c>
      <c r="E17" s="2">
        <v>300</v>
      </c>
      <c r="F17" s="2">
        <v>300</v>
      </c>
      <c r="G17" s="2">
        <v>300</v>
      </c>
      <c r="H17" s="2">
        <v>300</v>
      </c>
      <c r="I17" s="2"/>
      <c r="J17" s="2">
        <v>300</v>
      </c>
    </row>
    <row r="18" ht="16.5" spans="1:10">
      <c r="A18" s="2"/>
      <c r="B18" s="2" t="s">
        <v>39</v>
      </c>
      <c r="C18" s="9">
        <f t="shared" ref="C18:E18" si="4">C13/10</f>
        <v>36.195</v>
      </c>
      <c r="D18" s="9">
        <f t="shared" si="4"/>
        <v>20.955</v>
      </c>
      <c r="E18" s="9">
        <f t="shared" si="4"/>
        <v>20.955</v>
      </c>
      <c r="F18" s="9">
        <f t="shared" ref="F18:J18" si="5">F13/10</f>
        <v>36.195</v>
      </c>
      <c r="G18" s="9">
        <f t="shared" si="5"/>
        <v>36.195</v>
      </c>
      <c r="H18" s="9">
        <f t="shared" si="5"/>
        <v>27.6225</v>
      </c>
      <c r="I18" s="9"/>
      <c r="J18" s="9">
        <f>J13/10</f>
        <v>72.5</v>
      </c>
    </row>
    <row r="19" s="67" customFormat="1" ht="30" spans="1:10">
      <c r="A19" s="48" t="s">
        <v>40</v>
      </c>
      <c r="B19" s="68" t="s">
        <v>41</v>
      </c>
      <c r="C19" s="68">
        <f>5*18</f>
        <v>90</v>
      </c>
      <c r="D19" s="68">
        <f>71*2+35</f>
        <v>177</v>
      </c>
      <c r="E19" s="68">
        <f>8*10</f>
        <v>80</v>
      </c>
      <c r="F19" s="68">
        <f>47*4</f>
        <v>188</v>
      </c>
      <c r="G19" s="71">
        <f>10*12</f>
        <v>120</v>
      </c>
      <c r="H19" s="68">
        <f>30*8</f>
        <v>240</v>
      </c>
      <c r="I19" s="68"/>
      <c r="J19" s="68">
        <f>J21*3</f>
        <v>15</v>
      </c>
    </row>
    <row r="20" ht="16.5" spans="1:10">
      <c r="A20" s="2"/>
      <c r="B20" s="2" t="s">
        <v>42</v>
      </c>
      <c r="C20" s="2">
        <v>75</v>
      </c>
      <c r="D20" s="2">
        <v>142</v>
      </c>
      <c r="E20" s="2">
        <v>40</v>
      </c>
      <c r="F20" s="2">
        <f>F21*3</f>
        <v>141</v>
      </c>
      <c r="G20" s="2">
        <v>60</v>
      </c>
      <c r="H20" s="2">
        <v>150</v>
      </c>
      <c r="I20" s="2"/>
      <c r="J20" s="2">
        <f>J21</f>
        <v>5</v>
      </c>
    </row>
    <row r="21" ht="33" spans="1:10">
      <c r="A21" s="2"/>
      <c r="B21" s="41" t="s">
        <v>43</v>
      </c>
      <c r="C21" s="2">
        <v>5</v>
      </c>
      <c r="D21" s="2">
        <v>71</v>
      </c>
      <c r="E21" s="2">
        <v>8</v>
      </c>
      <c r="F21" s="2">
        <v>47</v>
      </c>
      <c r="G21" s="2">
        <v>10</v>
      </c>
      <c r="H21" s="2">
        <v>30</v>
      </c>
      <c r="I21" s="2"/>
      <c r="J21" s="2">
        <v>5</v>
      </c>
    </row>
    <row r="22" ht="49.5" spans="1:10">
      <c r="A22" s="2"/>
      <c r="B22" s="41" t="s">
        <v>44</v>
      </c>
      <c r="C22" s="2" t="s">
        <v>23</v>
      </c>
      <c r="D22" s="2" t="s">
        <v>23</v>
      </c>
      <c r="E22" s="2" t="s">
        <v>23</v>
      </c>
      <c r="F22" s="2" t="s">
        <v>23</v>
      </c>
      <c r="G22" s="2" t="s">
        <v>23</v>
      </c>
      <c r="H22" s="2" t="s">
        <v>23</v>
      </c>
      <c r="I22" s="2"/>
      <c r="J22" s="2" t="s">
        <v>23</v>
      </c>
    </row>
    <row r="23" ht="49.5" spans="1:10">
      <c r="A23" s="2"/>
      <c r="B23" s="41" t="s">
        <v>45</v>
      </c>
      <c r="C23" s="2" t="s">
        <v>23</v>
      </c>
      <c r="D23" s="2" t="s">
        <v>23</v>
      </c>
      <c r="E23" s="2" t="s">
        <v>23</v>
      </c>
      <c r="F23" s="2" t="s">
        <v>23</v>
      </c>
      <c r="G23" s="2" t="s">
        <v>23</v>
      </c>
      <c r="H23" s="2" t="s">
        <v>23</v>
      </c>
      <c r="I23" s="2"/>
      <c r="J23" s="2" t="s">
        <v>23</v>
      </c>
    </row>
    <row r="24" s="67" customFormat="1" ht="49.5" spans="1:10">
      <c r="A24" s="48" t="s">
        <v>46</v>
      </c>
      <c r="B24" s="51" t="s">
        <v>47</v>
      </c>
      <c r="C24" s="68">
        <v>60</v>
      </c>
      <c r="D24" s="68">
        <v>60</v>
      </c>
      <c r="E24" s="68">
        <v>60</v>
      </c>
      <c r="F24" s="68">
        <v>60</v>
      </c>
      <c r="G24" s="68">
        <v>60</v>
      </c>
      <c r="H24" s="68">
        <v>60</v>
      </c>
      <c r="I24" s="68"/>
      <c r="J24" s="68">
        <v>60</v>
      </c>
    </row>
    <row r="25" ht="16.5" spans="1:10">
      <c r="A25" s="2"/>
      <c r="B25" s="2" t="s">
        <v>48</v>
      </c>
      <c r="C25" s="25">
        <f>(1/'枪械实际规格（苏系）'!B2)^0.0625</f>
        <v>0.917004043204671</v>
      </c>
      <c r="D25" s="25">
        <f>(1/'枪械实际规格（苏系）'!C2)^0.0625</f>
        <v>0.915172837652197</v>
      </c>
      <c r="E25" s="25">
        <f>(1/'枪械实际规格（苏系）'!D2)^0.0625</f>
        <v>1.01020919492447</v>
      </c>
      <c r="F25" s="25">
        <f>(1/'枪械实际规格（苏系）'!E2)^0.0625</f>
        <v>0.858432961437457</v>
      </c>
      <c r="G25" s="25">
        <f>(1/'枪械实际规格（苏系）'!F2)^0.0625</f>
        <v>0.917004043204671</v>
      </c>
      <c r="H25" s="25">
        <f>(1/'枪械实际规格（苏系）'!G2)^0.0625</f>
        <v>0.918456225109038</v>
      </c>
      <c r="I25" s="25"/>
      <c r="J25" s="25">
        <f>(1/'枪械实际规格（苏系）'!I2)^0.0625</f>
        <v>0.828478986803531</v>
      </c>
    </row>
    <row r="26" ht="33" spans="1:10">
      <c r="A26" s="2"/>
      <c r="B26" s="41" t="s">
        <v>49</v>
      </c>
      <c r="C26" s="25">
        <f t="shared" ref="C26:E26" si="6">0.1+C25*0.75</f>
        <v>0.787753032403503</v>
      </c>
      <c r="D26" s="25">
        <f t="shared" si="6"/>
        <v>0.786379628239148</v>
      </c>
      <c r="E26" s="25">
        <f t="shared" si="6"/>
        <v>0.857656896193351</v>
      </c>
      <c r="F26" s="25">
        <f t="shared" ref="F26:J26" si="7">0.1+F25*0.75</f>
        <v>0.743824721078093</v>
      </c>
      <c r="G26" s="25">
        <f t="shared" si="7"/>
        <v>0.787753032403503</v>
      </c>
      <c r="H26" s="25">
        <f t="shared" si="7"/>
        <v>0.788842168831778</v>
      </c>
      <c r="I26" s="25"/>
      <c r="J26" s="25">
        <f>0.1+J25*0.75</f>
        <v>0.721359240102648</v>
      </c>
    </row>
    <row r="27" ht="33" spans="1:10">
      <c r="A27" s="2"/>
      <c r="B27" s="41" t="s">
        <v>50</v>
      </c>
      <c r="C27" s="25">
        <f>2-('枪械实际规格（苏系）'!B2/10)+(1/'枪械实际规格（苏系）'!B2)^10</f>
        <v>1.60000095367432</v>
      </c>
      <c r="D27" s="25">
        <f>2-('枪械实际规格（苏系）'!C2/10)+(1/'枪械实际规格（苏系）'!C2)^10</f>
        <v>1.58700069262711</v>
      </c>
      <c r="E27" s="25">
        <f>2-('枪械实际规格（苏系）'!D2/10)+(1/'枪械实际规格（苏系）'!D2)^10</f>
        <v>6.99438044739092</v>
      </c>
      <c r="F27" s="25">
        <f>2-('枪械实际规格（苏系）'!E2/10)+(1/'枪械实际规格（苏系）'!E2)^10</f>
        <v>0.850000000024719</v>
      </c>
      <c r="G27" s="25">
        <f>2-('枪械实际规格（苏系）'!F2/10)+(1/'枪械实际规格（苏系）'!F2)^10</f>
        <v>1.60000095367432</v>
      </c>
      <c r="H27" s="25">
        <f>2-('枪械实际规格（苏系）'!G2/10)+(1/'枪械实际规格（苏系）'!G2)^10</f>
        <v>1.61000122843994</v>
      </c>
      <c r="I27" s="25"/>
      <c r="J27" s="25">
        <f>2-('枪械实际规格（苏系）'!I2/10)+(1/'枪械实际规格（苏系）'!I2)^10</f>
        <v>-0.0299999999999161</v>
      </c>
    </row>
    <row r="28" ht="16.5" spans="1:10">
      <c r="A28" s="2"/>
      <c r="B28" s="2" t="s">
        <v>51</v>
      </c>
      <c r="C28" s="25">
        <f>0.1+((('枪械实际规格（苏系）'!B2*100/'枪械实际规格（苏系）'!B3)/4)+'枪械实际规格（苏系）'!B3/15000*3)/2*1.1</f>
        <v>0.280162857142857</v>
      </c>
      <c r="D28" s="25">
        <f>0.1+((('枪械实际规格（苏系）'!C2*100/'枪械实际规格（苏系）'!C3)/4)+'枪械实际规格（苏系）'!C3/15000*3)/2*1.1</f>
        <v>0.260093582443654</v>
      </c>
      <c r="E28" s="25">
        <f>0.1+((('枪械实际规格（苏系）'!D2*100/'枪械实际规格（苏系）'!D3)/4)+'枪械实际规格（苏系）'!D3/15000*3)/2*1.1</f>
        <v>0.181584845360825</v>
      </c>
      <c r="F28" s="25">
        <f>0.1+((('枪械实际规格（苏系）'!E2*100/'枪械实际规格（苏系）'!E3)/4)+'枪械实际规格（苏系）'!E3/15000*3)/2*1.1</f>
        <v>0.364207874015748</v>
      </c>
      <c r="G28" s="25">
        <f>0.1+((('枪械实际规格（苏系）'!F2*100/'枪械实际规格（苏系）'!F3)/4)+'枪械实际规格（苏系）'!F3/15000*3)/2*1.1</f>
        <v>0.279721337683524</v>
      </c>
      <c r="H28" s="25">
        <f>0.1+((('枪械实际规格（苏系）'!G2*100/'枪械实际规格（苏系）'!G3)/4)+'枪械实际规格（苏系）'!G3/15000*3)/2*1.1</f>
        <v>0.2577375</v>
      </c>
      <c r="I28" s="76"/>
      <c r="J28" s="25">
        <f>0.1+((('枪械实际规格（苏系）'!I2*100/'枪械实际规格（苏系）'!I3)/4)+'枪械实际规格（苏系）'!I3/15000*3)/2*1.1</f>
        <v>0.463916666666667</v>
      </c>
    </row>
    <row r="29" ht="16.5" spans="1:10">
      <c r="A29" s="2"/>
      <c r="B29" s="2" t="s">
        <v>52</v>
      </c>
      <c r="C29" s="25">
        <f t="shared" ref="C29:E29" si="8">C28*0.75</f>
        <v>0.210122142857143</v>
      </c>
      <c r="D29" s="25">
        <f t="shared" si="8"/>
        <v>0.19507018683274</v>
      </c>
      <c r="E29" s="25">
        <f t="shared" si="8"/>
        <v>0.136188634020619</v>
      </c>
      <c r="F29" s="25">
        <f t="shared" ref="F29:J29" si="9">F28*0.75</f>
        <v>0.273155905511811</v>
      </c>
      <c r="G29" s="25">
        <f t="shared" si="9"/>
        <v>0.209791003262643</v>
      </c>
      <c r="H29" s="25">
        <f t="shared" si="9"/>
        <v>0.193303125</v>
      </c>
      <c r="I29" s="25"/>
      <c r="J29" s="25">
        <f>J28*0.75</f>
        <v>0.3479375</v>
      </c>
    </row>
    <row r="30" ht="16.5" spans="1:10">
      <c r="A30" s="2"/>
      <c r="B30" s="2" t="s">
        <v>53</v>
      </c>
      <c r="C30" s="9">
        <f t="shared" ref="C30:J30" si="10">C28*800</f>
        <v>224.130285714286</v>
      </c>
      <c r="D30" s="9">
        <f t="shared" si="10"/>
        <v>208.074865954923</v>
      </c>
      <c r="E30" s="9">
        <f t="shared" si="10"/>
        <v>145.26787628866</v>
      </c>
      <c r="F30" s="9">
        <f t="shared" si="10"/>
        <v>291.366299212598</v>
      </c>
      <c r="G30" s="9">
        <f t="shared" si="10"/>
        <v>223.777070146819</v>
      </c>
      <c r="H30" s="9">
        <f t="shared" si="10"/>
        <v>206.19</v>
      </c>
      <c r="I30" s="9"/>
      <c r="J30" s="9">
        <f t="shared" si="10"/>
        <v>371.133333333334</v>
      </c>
    </row>
    <row r="31" ht="16.5" spans="1:10">
      <c r="A31" s="2"/>
      <c r="B31" s="2" t="s">
        <v>54</v>
      </c>
      <c r="C31" s="72">
        <f>'枪械实际规格（苏系）'!B2^0.25</f>
        <v>1.4142135623731</v>
      </c>
      <c r="D31" s="72">
        <f>'枪械实际规格（苏系）'!C2^0.25</f>
        <v>1.42556660429815</v>
      </c>
      <c r="E31" s="72">
        <f>'枪械实际规格（苏系）'!D2^0.25</f>
        <v>0.960184589404188</v>
      </c>
      <c r="F31" s="72">
        <f>'枪械实际规格（苏系）'!E2^0.25</f>
        <v>1.84151160505782</v>
      </c>
      <c r="G31" s="72">
        <f>'枪械实际规格（苏系）'!F2^0.25</f>
        <v>1.4142135623731</v>
      </c>
      <c r="H31" s="72">
        <f>'枪械实际规格（苏系）'!G2^0.25</f>
        <v>1.40529063393063</v>
      </c>
      <c r="I31" s="72"/>
      <c r="J31" s="72">
        <f>'枪械实际规格（苏系）'!I2^0.25</f>
        <v>2.12262858984504</v>
      </c>
    </row>
    <row r="32" ht="33" spans="1:10">
      <c r="A32" s="2"/>
      <c r="B32" s="41" t="s">
        <v>55</v>
      </c>
      <c r="C32" s="9">
        <f t="shared" ref="C32:J32" si="11">C30*0.9</f>
        <v>201.717257142857</v>
      </c>
      <c r="D32" s="9">
        <f t="shared" si="11"/>
        <v>187.267379359431</v>
      </c>
      <c r="E32" s="9">
        <f t="shared" si="11"/>
        <v>130.741088659794</v>
      </c>
      <c r="F32" s="9">
        <f t="shared" si="11"/>
        <v>262.229669291339</v>
      </c>
      <c r="G32" s="9">
        <f t="shared" si="11"/>
        <v>201.399363132137</v>
      </c>
      <c r="H32" s="9">
        <f t="shared" si="11"/>
        <v>185.571</v>
      </c>
      <c r="I32" s="9"/>
      <c r="J32" s="9">
        <f>J30*0.9</f>
        <v>334.02</v>
      </c>
    </row>
    <row r="33" ht="33" spans="1:10">
      <c r="A33" s="2"/>
      <c r="B33" s="41" t="s">
        <v>56</v>
      </c>
      <c r="C33" s="72">
        <f t="shared" ref="C33:J33" si="12">C31*1</f>
        <v>1.4142135623731</v>
      </c>
      <c r="D33" s="72">
        <f t="shared" si="12"/>
        <v>1.42556660429815</v>
      </c>
      <c r="E33" s="72">
        <f t="shared" si="12"/>
        <v>0.960184589404188</v>
      </c>
      <c r="F33" s="72">
        <f t="shared" si="12"/>
        <v>1.84151160505782</v>
      </c>
      <c r="G33" s="72">
        <f t="shared" si="12"/>
        <v>1.4142135623731</v>
      </c>
      <c r="H33" s="72">
        <f t="shared" si="12"/>
        <v>1.40529063393063</v>
      </c>
      <c r="I33" s="72"/>
      <c r="J33" s="72">
        <f>J31*1</f>
        <v>2.12262858984504</v>
      </c>
    </row>
    <row r="34" ht="16.5" spans="1:10">
      <c r="A34" s="2"/>
      <c r="B34" s="2" t="s">
        <v>57</v>
      </c>
      <c r="C34" s="2">
        <v>0.5</v>
      </c>
      <c r="D34" s="2">
        <v>0.5</v>
      </c>
      <c r="E34" s="2">
        <v>0.5</v>
      </c>
      <c r="F34" s="2">
        <v>0.5</v>
      </c>
      <c r="G34" s="2">
        <v>0.5</v>
      </c>
      <c r="H34" s="2">
        <v>0.5</v>
      </c>
      <c r="I34" s="2"/>
      <c r="J34" s="2">
        <v>0.5</v>
      </c>
    </row>
    <row r="35" ht="16.5" spans="1:10">
      <c r="A35" s="2"/>
      <c r="B35" s="2" t="s">
        <v>58</v>
      </c>
      <c r="C35" s="2">
        <v>0.1</v>
      </c>
      <c r="D35" s="2">
        <v>0.1</v>
      </c>
      <c r="E35" s="2">
        <v>0.1</v>
      </c>
      <c r="F35" s="2">
        <v>0.1</v>
      </c>
      <c r="G35" s="2">
        <v>0.1</v>
      </c>
      <c r="H35" s="2">
        <v>0.1</v>
      </c>
      <c r="I35" s="2"/>
      <c r="J35" s="2">
        <v>0.1</v>
      </c>
    </row>
    <row r="36" ht="16.5" spans="1:10">
      <c r="A36" s="2"/>
      <c r="B36" s="2" t="s">
        <v>59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/>
      <c r="J36" s="2">
        <v>0</v>
      </c>
    </row>
    <row r="37" ht="33" spans="1:10">
      <c r="A37" s="2"/>
      <c r="B37" s="41" t="s">
        <v>60</v>
      </c>
      <c r="C37" s="2">
        <v>0.9</v>
      </c>
      <c r="D37" s="2">
        <v>0.9</v>
      </c>
      <c r="E37" s="2">
        <v>1</v>
      </c>
      <c r="F37" s="2">
        <v>0.85</v>
      </c>
      <c r="G37" s="2">
        <v>0.9</v>
      </c>
      <c r="H37" s="2">
        <v>0.9</v>
      </c>
      <c r="I37" s="2"/>
      <c r="J37" s="2">
        <v>0.8</v>
      </c>
    </row>
    <row r="38" s="67" customFormat="1" ht="33" spans="1:10">
      <c r="A38" s="48" t="s">
        <v>61</v>
      </c>
      <c r="B38" s="51" t="s">
        <v>62</v>
      </c>
      <c r="C38" s="73">
        <f>2.21*1.134/10</f>
        <v>0.250614</v>
      </c>
      <c r="D38" s="73">
        <f>16*1.134/10</f>
        <v>1.8144</v>
      </c>
      <c r="E38" s="73">
        <f>20*1.134/10</f>
        <v>2.268</v>
      </c>
      <c r="F38" s="73">
        <f>6*1.134/10</f>
        <v>0.6804</v>
      </c>
      <c r="G38" s="73">
        <f>2.42*1.134/10</f>
        <v>0.274428</v>
      </c>
      <c r="H38" s="73">
        <f>5*1.134/10</f>
        <v>0.567</v>
      </c>
      <c r="I38" s="73"/>
      <c r="J38" s="73">
        <f>5*1.134/10</f>
        <v>0.567</v>
      </c>
    </row>
    <row r="39" s="67" customFormat="1" ht="49.5" spans="1:10">
      <c r="A39" s="68"/>
      <c r="B39" s="51" t="s">
        <v>63</v>
      </c>
      <c r="C39" s="74">
        <f t="shared" ref="C39:J39" si="13">(C32/10*2.5-1/C38/10)/4</f>
        <v>12.5075735697128</v>
      </c>
      <c r="D39" s="74">
        <f t="shared" si="13"/>
        <v>11.6904325503524</v>
      </c>
      <c r="E39" s="74">
        <f t="shared" si="13"/>
        <v>8.16029511354753</v>
      </c>
      <c r="F39" s="74">
        <f t="shared" si="13"/>
        <v>16.35261123841</v>
      </c>
      <c r="G39" s="74">
        <f t="shared" si="13"/>
        <v>12.4963616198115</v>
      </c>
      <c r="H39" s="74">
        <f t="shared" si="13"/>
        <v>11.5540957892416</v>
      </c>
      <c r="I39" s="74"/>
      <c r="J39" s="74">
        <f>(J32/10*2.5-1/J38/10)/4</f>
        <v>20.8321582892416</v>
      </c>
    </row>
    <row r="40" ht="49.5" spans="1:10">
      <c r="A40" s="2"/>
      <c r="B40" s="41" t="s">
        <v>64</v>
      </c>
      <c r="C40" s="25">
        <f t="shared" ref="C40:J40" si="14">C39*0.95</f>
        <v>11.8821948912271</v>
      </c>
      <c r="D40" s="25">
        <f t="shared" si="14"/>
        <v>11.1059109228348</v>
      </c>
      <c r="E40" s="25">
        <f t="shared" si="14"/>
        <v>7.75228035787015</v>
      </c>
      <c r="F40" s="25">
        <f t="shared" si="14"/>
        <v>15.5349806764895</v>
      </c>
      <c r="G40" s="25">
        <f t="shared" si="14"/>
        <v>11.8715435388209</v>
      </c>
      <c r="H40" s="25">
        <f t="shared" si="14"/>
        <v>10.9763909997795</v>
      </c>
      <c r="I40" s="25"/>
      <c r="J40" s="25">
        <f>J39*0.95</f>
        <v>19.7905503747796</v>
      </c>
    </row>
    <row r="41" ht="49.5" spans="1:10">
      <c r="A41" s="2"/>
      <c r="B41" s="41" t="s">
        <v>65</v>
      </c>
      <c r="C41" s="25">
        <f t="shared" ref="C41:J41" si="15">C39*0.9</f>
        <v>11.2568162127415</v>
      </c>
      <c r="D41" s="25">
        <f t="shared" si="15"/>
        <v>10.5213892953172</v>
      </c>
      <c r="E41" s="25">
        <f t="shared" si="15"/>
        <v>7.34426560219278</v>
      </c>
      <c r="F41" s="25">
        <f t="shared" si="15"/>
        <v>14.717350114569</v>
      </c>
      <c r="G41" s="25">
        <f t="shared" si="15"/>
        <v>11.2467254578304</v>
      </c>
      <c r="H41" s="25">
        <f t="shared" si="15"/>
        <v>10.3986862103175</v>
      </c>
      <c r="I41" s="25"/>
      <c r="J41" s="25">
        <f>J39*0.9</f>
        <v>18.7489424603175</v>
      </c>
    </row>
    <row r="42" s="67" customFormat="1" ht="49.5" spans="1:10">
      <c r="A42" s="68"/>
      <c r="B42" s="51" t="s">
        <v>66</v>
      </c>
      <c r="C42" s="74">
        <f t="shared" ref="C42:J42" si="16">(C30/10*5-1/C38/10)/4</f>
        <v>27.9165307125699</v>
      </c>
      <c r="D42" s="74">
        <f t="shared" si="16"/>
        <v>25.9955795847534</v>
      </c>
      <c r="E42" s="74">
        <f t="shared" si="16"/>
        <v>18.1474616083929</v>
      </c>
      <c r="F42" s="74">
        <f t="shared" si="16"/>
        <v>36.3840443092761</v>
      </c>
      <c r="G42" s="74">
        <f t="shared" si="16"/>
        <v>27.8810351924053</v>
      </c>
      <c r="H42" s="74">
        <f t="shared" si="16"/>
        <v>25.7296582892416</v>
      </c>
      <c r="I42" s="74"/>
      <c r="J42" s="74">
        <f>(J30/10*5-1/J38/10)/4</f>
        <v>46.3475749559083</v>
      </c>
    </row>
    <row r="43" ht="49.5" spans="1:10">
      <c r="A43" s="2"/>
      <c r="B43" s="41" t="s">
        <v>67</v>
      </c>
      <c r="C43" s="25">
        <f t="shared" ref="C43:J43" si="17">C42*0.95</f>
        <v>26.5207041769414</v>
      </c>
      <c r="D43" s="25">
        <f t="shared" si="17"/>
        <v>24.6958006055157</v>
      </c>
      <c r="E43" s="25">
        <f t="shared" si="17"/>
        <v>17.2400885279733</v>
      </c>
      <c r="F43" s="25">
        <f t="shared" si="17"/>
        <v>34.5648420938123</v>
      </c>
      <c r="G43" s="25">
        <f t="shared" si="17"/>
        <v>26.4869834327851</v>
      </c>
      <c r="H43" s="25">
        <f t="shared" si="17"/>
        <v>24.4431753747795</v>
      </c>
      <c r="I43" s="25"/>
      <c r="J43" s="25">
        <f>J42*0.95</f>
        <v>44.0301962081129</v>
      </c>
    </row>
    <row r="44" ht="49.5" spans="1:10">
      <c r="A44" s="2"/>
      <c r="B44" s="75" t="s">
        <v>68</v>
      </c>
      <c r="C44" s="25">
        <f t="shared" ref="C44:J44" si="18">C42*0.9</f>
        <v>25.1248776413129</v>
      </c>
      <c r="D44" s="25">
        <f t="shared" si="18"/>
        <v>23.3960216262781</v>
      </c>
      <c r="E44" s="25">
        <f t="shared" si="18"/>
        <v>16.3327154475536</v>
      </c>
      <c r="F44" s="25">
        <f t="shared" si="18"/>
        <v>32.7456398783485</v>
      </c>
      <c r="G44" s="25">
        <f t="shared" si="18"/>
        <v>25.0929316731648</v>
      </c>
      <c r="H44" s="25">
        <f t="shared" si="18"/>
        <v>23.1566924603175</v>
      </c>
      <c r="I44" s="25"/>
      <c r="J44" s="25">
        <f>J42*0.9</f>
        <v>41.7128174603175</v>
      </c>
    </row>
    <row r="45" s="67" customFormat="1" ht="49.5" spans="1:10">
      <c r="A45" s="68"/>
      <c r="B45" s="51" t="s">
        <v>69</v>
      </c>
      <c r="C45" s="74">
        <f>一些设定!E8*1/'枪械实际规格（苏系）'!B2</f>
        <v>1.22778635641875</v>
      </c>
      <c r="D45" s="74">
        <f>一些设定!M8*1/'枪械实际规格（苏系）'!C2</f>
        <v>0.868162649888232</v>
      </c>
      <c r="E45" s="74">
        <f>一些设定!M8*1/'枪械实际规格（苏系）'!D2</f>
        <v>4.21824911063341</v>
      </c>
      <c r="F45" s="74">
        <f>一些设定!E8*1/'枪械实际规格（苏系）'!E2</f>
        <v>0.427056123971738</v>
      </c>
      <c r="G45" s="74">
        <f>一些设定!E8*1/'枪械实际规格（苏系）'!F2</f>
        <v>1.22778635641875</v>
      </c>
      <c r="H45" s="74">
        <f>一些设定!I8*1/'枪械实际规格（苏系）'!G2</f>
        <v>1.12511671212272</v>
      </c>
      <c r="I45" s="74"/>
      <c r="J45" s="74">
        <f>一些设定!B8*1/'枪械实际规格（苏系）'!I2</f>
        <v>0.37920333576023</v>
      </c>
    </row>
    <row r="46" ht="49.5" spans="1:10">
      <c r="A46" s="2"/>
      <c r="B46" s="41" t="s">
        <v>70</v>
      </c>
      <c r="C46" s="25">
        <f t="shared" ref="C46:J46" si="19">C32/2/100/3</f>
        <v>0.336195428571428</v>
      </c>
      <c r="D46" s="25">
        <f t="shared" si="19"/>
        <v>0.312112298932385</v>
      </c>
      <c r="E46" s="25">
        <f t="shared" si="19"/>
        <v>0.21790181443299</v>
      </c>
      <c r="F46" s="25">
        <f t="shared" si="19"/>
        <v>0.437049448818898</v>
      </c>
      <c r="G46" s="25">
        <f t="shared" si="19"/>
        <v>0.335665605220229</v>
      </c>
      <c r="H46" s="25">
        <f t="shared" si="19"/>
        <v>0.309285</v>
      </c>
      <c r="I46" s="25"/>
      <c r="J46" s="25">
        <f>J32/2/100/3</f>
        <v>0.5567</v>
      </c>
    </row>
    <row r="47" ht="49.5" spans="1:10">
      <c r="A47" s="2"/>
      <c r="B47" s="41" t="s">
        <v>71</v>
      </c>
      <c r="C47" s="25">
        <f t="shared" ref="C47:J47" si="20">C30/10/3</f>
        <v>7.47100952380952</v>
      </c>
      <c r="D47" s="25">
        <f t="shared" si="20"/>
        <v>6.93582886516411</v>
      </c>
      <c r="E47" s="25">
        <f t="shared" si="20"/>
        <v>4.84226254295533</v>
      </c>
      <c r="F47" s="25">
        <f t="shared" si="20"/>
        <v>9.71220997375328</v>
      </c>
      <c r="G47" s="25">
        <f t="shared" si="20"/>
        <v>7.45923567156064</v>
      </c>
      <c r="H47" s="25">
        <f t="shared" si="20"/>
        <v>6.873</v>
      </c>
      <c r="I47" s="25"/>
      <c r="J47" s="25">
        <f>J30/10/3</f>
        <v>12.3711111111111</v>
      </c>
    </row>
    <row r="48" ht="49.5" spans="1:10">
      <c r="A48" s="2"/>
      <c r="B48" s="41" t="s">
        <v>72</v>
      </c>
      <c r="C48" s="25">
        <f t="shared" ref="C48:J48" si="21">3.5+1/(C32/3)*20</f>
        <v>3.79744604328775</v>
      </c>
      <c r="D48" s="25">
        <f t="shared" si="21"/>
        <v>3.82039749904781</v>
      </c>
      <c r="E48" s="25">
        <f t="shared" si="21"/>
        <v>3.95892229149268</v>
      </c>
      <c r="F48" s="25">
        <f t="shared" si="21"/>
        <v>3.72880706123814</v>
      </c>
      <c r="G48" s="25">
        <f t="shared" si="21"/>
        <v>3.79791553988497</v>
      </c>
      <c r="H48" s="25">
        <f t="shared" si="21"/>
        <v>3.82332638181612</v>
      </c>
      <c r="I48" s="25"/>
      <c r="J48" s="25">
        <f>3.5+1/(J32/3)*20</f>
        <v>3.67962996227771</v>
      </c>
    </row>
    <row r="49" ht="33" spans="1:10">
      <c r="A49" s="2"/>
      <c r="B49" s="41" t="s">
        <v>73</v>
      </c>
      <c r="C49" s="25">
        <v>1.05</v>
      </c>
      <c r="D49" s="25">
        <v>1.05</v>
      </c>
      <c r="E49" s="25">
        <v>1.05</v>
      </c>
      <c r="F49" s="25">
        <v>1.05</v>
      </c>
      <c r="G49" s="25">
        <v>1.05</v>
      </c>
      <c r="H49" s="25">
        <v>1.05</v>
      </c>
      <c r="I49" s="25"/>
      <c r="J49" s="25">
        <v>1.05</v>
      </c>
    </row>
    <row r="50" ht="33" spans="1:10">
      <c r="A50" s="2"/>
      <c r="B50" s="41" t="s">
        <v>74</v>
      </c>
      <c r="C50" s="25">
        <v>1.1</v>
      </c>
      <c r="D50" s="25">
        <v>1.1</v>
      </c>
      <c r="E50" s="25">
        <v>1.1</v>
      </c>
      <c r="F50" s="25">
        <v>1.1</v>
      </c>
      <c r="G50" s="25">
        <v>1.1</v>
      </c>
      <c r="H50" s="25">
        <v>1.1</v>
      </c>
      <c r="I50" s="25"/>
      <c r="J50" s="25">
        <v>1.1</v>
      </c>
    </row>
    <row r="51" s="67" customFormat="1" ht="49.5" spans="1:10">
      <c r="A51" s="48" t="s">
        <v>75</v>
      </c>
      <c r="B51" s="51" t="s">
        <v>76</v>
      </c>
      <c r="C51" s="69">
        <f>(-(一些设定!E8^0.25*40)+('枪械实际规格（苏系）'!B2^0.25*20)+('枪械实际规格（苏系）'!B3^0.125*5))*1.5-C30/1.5</f>
        <v>-178.058178208259</v>
      </c>
      <c r="D51" s="69">
        <f>(-(一些设定!M8^0.25*40)+('枪械实际规格（苏系）'!C2^0.25*20)+('枪械实际规格（苏系）'!C3^0.125*5))*1.5-D30/1.5</f>
        <v>-161.103621601265</v>
      </c>
      <c r="E51" s="69">
        <f>(-(一些设定!M8^0.25*40)+('枪械实际规格（苏系）'!D2^0.25*20)+('枪械实际规格（苏系）'!D3^0.125*5))*1.5-E30/1.5</f>
        <v>-136.114456856275</v>
      </c>
      <c r="F51" s="69">
        <f>(-(一些设定!E8^0.25*40)+('枪械实际规格（苏系）'!E2^0.25*20)+('枪械实际规格（苏系）'!E3^0.125*5))*1.5-F30/1.5</f>
        <v>-209.993794347846</v>
      </c>
      <c r="G51" s="69">
        <f>(-(一些设定!E8^0.25*40)+('枪械实际规格（苏系）'!F2^0.25*20)+('枪械实际规格（苏系）'!F3^0.125*5))*1.5-G30/1.5</f>
        <v>-177.833838089355</v>
      </c>
      <c r="H51" s="69">
        <f>(-(一些设定!I8^0.25*40)+('枪械实际规格（苏系）'!G2^0.25*20)+('枪械实际规格（苏系）'!G3^0.125*5))*1.5-H30/1.5</f>
        <v>-164.637310427658</v>
      </c>
      <c r="I51" s="69"/>
      <c r="J51" s="69">
        <f>(-(一些设定!B8^0.25*40)+('枪械实际规格（苏系）'!I2^0.25*20)+('枪械实际规格（苏系）'!I3^0.125*5))*1.5-J30/1.5</f>
        <v>-264.170616599025</v>
      </c>
    </row>
    <row r="52" ht="49.5" spans="1:10">
      <c r="A52" s="2"/>
      <c r="B52" s="41" t="s">
        <v>77</v>
      </c>
      <c r="C52" s="9">
        <f>C51*1.5</f>
        <v>-267.087267312389</v>
      </c>
      <c r="D52" s="9">
        <f t="shared" ref="D52:J52" si="22">D51*1.5</f>
        <v>-241.655432401898</v>
      </c>
      <c r="E52" s="9">
        <f t="shared" si="22"/>
        <v>-204.171685284412</v>
      </c>
      <c r="F52" s="9">
        <f t="shared" si="22"/>
        <v>-314.99069152177</v>
      </c>
      <c r="G52" s="9">
        <f t="shared" si="22"/>
        <v>-266.750757134033</v>
      </c>
      <c r="H52" s="9">
        <f t="shared" si="22"/>
        <v>-246.955965641487</v>
      </c>
      <c r="I52" s="9"/>
      <c r="J52" s="9">
        <f>J51*1.5</f>
        <v>-396.255924898537</v>
      </c>
    </row>
    <row r="53" ht="49.5" spans="1:10">
      <c r="A53" s="2"/>
      <c r="B53" s="41" t="s">
        <v>78</v>
      </c>
      <c r="C53" s="9">
        <f t="shared" ref="C53:J53" si="23">-C51*1.1</f>
        <v>195.863996029085</v>
      </c>
      <c r="D53" s="9">
        <f t="shared" si="23"/>
        <v>177.213983761392</v>
      </c>
      <c r="E53" s="9">
        <f t="shared" si="23"/>
        <v>149.725902541902</v>
      </c>
      <c r="F53" s="9">
        <f t="shared" si="23"/>
        <v>230.993173782631</v>
      </c>
      <c r="G53" s="9">
        <f t="shared" si="23"/>
        <v>195.617221898291</v>
      </c>
      <c r="H53" s="9">
        <f t="shared" si="23"/>
        <v>181.101041470424</v>
      </c>
      <c r="I53" s="9"/>
      <c r="J53" s="9">
        <f>-J51*1.1</f>
        <v>290.587678258927</v>
      </c>
    </row>
    <row r="54" ht="49.5" spans="1:10">
      <c r="A54" s="2"/>
      <c r="B54" s="41" t="s">
        <v>79</v>
      </c>
      <c r="C54" s="9">
        <f t="shared" ref="C54:J54" si="24">-C52*1.15</f>
        <v>307.150357409247</v>
      </c>
      <c r="D54" s="9">
        <f t="shared" si="24"/>
        <v>277.903747262182</v>
      </c>
      <c r="E54" s="9">
        <f t="shared" si="24"/>
        <v>234.797438077074</v>
      </c>
      <c r="F54" s="9">
        <f t="shared" si="24"/>
        <v>362.239295250035</v>
      </c>
      <c r="G54" s="9">
        <f t="shared" si="24"/>
        <v>306.763370704138</v>
      </c>
      <c r="H54" s="9">
        <f t="shared" si="24"/>
        <v>283.99936048771</v>
      </c>
      <c r="I54" s="9"/>
      <c r="J54" s="9">
        <f>-J52*1.15</f>
        <v>455.694313633318</v>
      </c>
    </row>
    <row r="55" ht="49.5" spans="1:10">
      <c r="A55" s="2"/>
      <c r="B55" s="41" t="s">
        <v>80</v>
      </c>
      <c r="C55" s="9">
        <f t="shared" ref="C55:J55" si="25">-C51*1.05</f>
        <v>186.961087118672</v>
      </c>
      <c r="D55" s="9">
        <f t="shared" si="25"/>
        <v>169.158802681328</v>
      </c>
      <c r="E55" s="9">
        <f t="shared" si="25"/>
        <v>142.920179699089</v>
      </c>
      <c r="F55" s="9">
        <f t="shared" si="25"/>
        <v>220.493484065239</v>
      </c>
      <c r="G55" s="9">
        <f t="shared" si="25"/>
        <v>186.725529993823</v>
      </c>
      <c r="H55" s="9">
        <f t="shared" si="25"/>
        <v>172.869175949041</v>
      </c>
      <c r="I55" s="9"/>
      <c r="J55" s="9">
        <f>-J51*1.05</f>
        <v>277.379147428976</v>
      </c>
    </row>
    <row r="56" ht="49.5" spans="1:10">
      <c r="A56" s="2"/>
      <c r="B56" s="41" t="s">
        <v>81</v>
      </c>
      <c r="C56" s="9">
        <f t="shared" ref="C56:J56" si="26">-C52*1.1</f>
        <v>293.795994043628</v>
      </c>
      <c r="D56" s="9">
        <f t="shared" si="26"/>
        <v>265.820975642087</v>
      </c>
      <c r="E56" s="9">
        <f t="shared" si="26"/>
        <v>224.588853812854</v>
      </c>
      <c r="F56" s="9">
        <f t="shared" si="26"/>
        <v>346.489760673947</v>
      </c>
      <c r="G56" s="9">
        <f t="shared" si="26"/>
        <v>293.425832847436</v>
      </c>
      <c r="H56" s="9">
        <f t="shared" si="26"/>
        <v>271.651562205635</v>
      </c>
      <c r="I56" s="9"/>
      <c r="J56" s="9">
        <f>-J52*1.1</f>
        <v>435.881517388391</v>
      </c>
    </row>
    <row r="57" ht="49.5" spans="1:10">
      <c r="A57" s="2"/>
      <c r="B57" s="41" t="s">
        <v>82</v>
      </c>
      <c r="C57" s="36">
        <f>-100+1/((C30/3)^2)*300000+'枪械实际规格（苏系）'!B2^2+'枪械实际规格（苏系）'!B3^2/1000</f>
        <v>1487.57204531553</v>
      </c>
      <c r="D57" s="36">
        <f>-100+1/((D30/3)^2)*300000+'枪械实际规格（苏系）'!C2^2+'枪械实际规格（苏系）'!C3^2/1000</f>
        <v>690.068543618127</v>
      </c>
      <c r="E57" s="36">
        <f>-100+1/((E30/3)^2)*300000+'枪械实际规格（苏系）'!D2^2+'枪械实际规格（苏系）'!D3^2/1000</f>
        <v>66.3038742995508</v>
      </c>
      <c r="F57" s="36">
        <f>-100+1/((F30/3)^2)*300000+'枪械实际规格（苏系）'!E2^2+'枪械实际规格（苏系）'!E3^2/1000</f>
        <v>1676.954247798</v>
      </c>
      <c r="G57" s="36">
        <f>-100+1/((G30/3)^2)*300000+'枪械实际规格（苏系）'!F2^2+'枪械实际规格（苏系）'!F3^2/1000</f>
        <v>1472.99385385976</v>
      </c>
      <c r="H57" s="36">
        <f>-100+1/((H30/3)^2)*300000+'枪械实际规格（苏系）'!G2^2+'枪械实际规格（苏系）'!G3^2/1000</f>
        <v>753.118019125821</v>
      </c>
      <c r="I57" s="36"/>
      <c r="J57" s="36">
        <f>-100+1/((J30/3)^2)*300000+'枪械实际规格（苏系）'!I2^2+'枪械实际规格（苏系）'!I3^2/1000</f>
        <v>4741.69215593384</v>
      </c>
    </row>
    <row r="58" ht="49.5" spans="1:10">
      <c r="A58" s="2"/>
      <c r="B58" s="41" t="s">
        <v>83</v>
      </c>
      <c r="C58" s="36">
        <f>-100+1/((C32/3)^2)*300000+'枪械实际规格（苏系）'!B2^2+'枪械实际规格（苏系）'!B3^2/1000</f>
        <v>1500.17961150065</v>
      </c>
      <c r="D58" s="36">
        <f>-100+1/((D32/3)^2)*300000+'枪械实际规格（苏系）'!C2^2+'枪械实际规格（苏系）'!C3^2/1000</f>
        <v>704.696818047071</v>
      </c>
      <c r="E58" s="36">
        <f>-100+1/((E32/3)^2)*300000+'枪械实际规格（苏系）'!D2^2+'枪械实际规格（苏系）'!D3^2/1000</f>
        <v>96.3157522216677</v>
      </c>
      <c r="F58" s="36">
        <f>-100+1/((F32/3)^2)*300000+'枪械实际规格（苏系）'!E2^2+'枪械实际规格（苏系）'!E3^2/1000</f>
        <v>1684.41450345432</v>
      </c>
      <c r="G58" s="36">
        <f>-100+1/((G32/3)^2)*300000+'枪械实际规格（苏系）'!F2^2+'枪械实际规格（苏系）'!F3^2/1000</f>
        <v>1485.64125167872</v>
      </c>
      <c r="H58" s="36">
        <f>-100+1/((H32/3)^2)*300000+'枪械实际规格（苏系）'!G2^2+'枪械实际规格（苏系）'!G3^2/1000</f>
        <v>768.01496188373</v>
      </c>
      <c r="I58" s="36"/>
      <c r="J58" s="36">
        <f>-100+1/((J32/3)^2)*300000+'枪械实际规格（苏系）'!I2^2+'枪械实际规格（苏系）'!I3^2/1000</f>
        <v>4746.29019251092</v>
      </c>
    </row>
    <row r="59" ht="66" spans="1:10">
      <c r="A59" s="2"/>
      <c r="B59" s="41" t="s">
        <v>84</v>
      </c>
      <c r="C59" s="2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2"/>
      <c r="J59" s="2">
        <v>0</v>
      </c>
    </row>
    <row r="60" ht="49.5" spans="1:10">
      <c r="A60" s="2"/>
      <c r="B60" s="41" t="s">
        <v>85</v>
      </c>
      <c r="C60" s="2">
        <v>75</v>
      </c>
      <c r="D60" s="9">
        <v>75</v>
      </c>
      <c r="E60" s="9">
        <v>75</v>
      </c>
      <c r="F60" s="9">
        <v>75</v>
      </c>
      <c r="G60" s="9">
        <v>75</v>
      </c>
      <c r="H60" s="9">
        <v>75</v>
      </c>
      <c r="I60" s="2"/>
      <c r="J60" s="2">
        <v>75</v>
      </c>
    </row>
    <row r="61" ht="33" spans="1:10">
      <c r="A61" s="2"/>
      <c r="B61" s="41" t="s">
        <v>86</v>
      </c>
      <c r="C61" s="36">
        <f>一些设定!E8*10-'枪械实际规格（苏系）'!B2-25</f>
        <v>20.1114542567499</v>
      </c>
      <c r="D61" s="36">
        <f>一些设定!M8*10-'枪械实际规格（苏系）'!C2-25</f>
        <v>6.725117440384</v>
      </c>
      <c r="E61" s="36">
        <f>一些设定!M8*10-'枪械实际规格（苏系）'!D2-25</f>
        <v>10.005117440384</v>
      </c>
      <c r="F61" s="36">
        <f>一些设定!E8*10-'枪械实际规格（苏系）'!E2-25</f>
        <v>12.6114542567499</v>
      </c>
      <c r="G61" s="36">
        <f>一些设定!E8*10-'枪械实际规格（苏系）'!F2-25</f>
        <v>20.1114542567499</v>
      </c>
      <c r="H61" s="36">
        <f>一些设定!I8*10-'枪械实际规格（苏系）'!G2-25</f>
        <v>14.9795517727862</v>
      </c>
      <c r="I61" s="36"/>
      <c r="J61" s="36">
        <f>一些设定!B8*10-'枪械实际规格（苏系）'!I2-25</f>
        <v>31.6782771593268</v>
      </c>
    </row>
    <row r="62" s="67" customFormat="1" ht="30" spans="1:10">
      <c r="A62" s="48" t="s">
        <v>87</v>
      </c>
      <c r="B62" s="68" t="s">
        <v>88</v>
      </c>
      <c r="C62" s="74">
        <f>1/('枪械实际规格（苏系）'!B4/60)</f>
        <v>0.3</v>
      </c>
      <c r="D62" s="74">
        <f>1/('枪械实际规格（苏系）'!C4/60)</f>
        <v>0.06</v>
      </c>
      <c r="E62" s="74">
        <f>1/('枪械实际规格（苏系）'!D4/60)</f>
        <v>0.15</v>
      </c>
      <c r="F62" s="74">
        <f>1/('枪械实际规格（苏系）'!E4/60)</f>
        <v>0.109090909090909</v>
      </c>
      <c r="G62" s="74">
        <f>1/('枪械实际规格（苏系）'!F4/60)</f>
        <v>0.15</v>
      </c>
      <c r="H62" s="74">
        <f>1/('枪械实际规格（苏系）'!G4/60)</f>
        <v>0.1</v>
      </c>
      <c r="I62" s="74"/>
      <c r="J62" s="74">
        <f>1/('枪械实际规格（苏系）'!I4/60)</f>
        <v>0.15</v>
      </c>
    </row>
    <row r="63" ht="16.5" spans="1:10">
      <c r="A63" s="2"/>
      <c r="B63" s="2" t="s">
        <v>89</v>
      </c>
      <c r="C63" s="25">
        <f t="shared" ref="C63:E63" si="27">C28*1.25</f>
        <v>0.350203571428571</v>
      </c>
      <c r="D63" s="25">
        <f t="shared" si="27"/>
        <v>0.325116978054567</v>
      </c>
      <c r="E63" s="25">
        <f t="shared" si="27"/>
        <v>0.226981056701031</v>
      </c>
      <c r="F63" s="25">
        <f t="shared" ref="F63:J63" si="28">F28*1.25</f>
        <v>0.455259842519685</v>
      </c>
      <c r="G63" s="25">
        <f t="shared" si="28"/>
        <v>0.349651672104405</v>
      </c>
      <c r="H63" s="25">
        <f t="shared" si="28"/>
        <v>0.322171875</v>
      </c>
      <c r="I63" s="25"/>
      <c r="J63" s="25">
        <f>J28*1.25</f>
        <v>0.579895833333334</v>
      </c>
    </row>
    <row r="64" ht="16.5" spans="1:10">
      <c r="A64" s="2"/>
      <c r="B64" s="2" t="s">
        <v>90</v>
      </c>
      <c r="C64" s="24">
        <f t="shared" ref="C64:E64" si="29">C29*1.25</f>
        <v>0.262652678571429</v>
      </c>
      <c r="D64" s="24">
        <f t="shared" si="29"/>
        <v>0.243837733540925</v>
      </c>
      <c r="E64" s="24">
        <f t="shared" si="29"/>
        <v>0.170235792525773</v>
      </c>
      <c r="F64" s="24">
        <f t="shared" ref="F64:J64" si="30">F29*1.25</f>
        <v>0.341444881889764</v>
      </c>
      <c r="G64" s="24">
        <f t="shared" si="30"/>
        <v>0.262238754078304</v>
      </c>
      <c r="H64" s="24">
        <f t="shared" si="30"/>
        <v>0.24162890625</v>
      </c>
      <c r="I64" s="24"/>
      <c r="J64" s="24">
        <f>J29*1.25</f>
        <v>0.434921875</v>
      </c>
    </row>
    <row r="65" ht="16.5" spans="1:10">
      <c r="A65" s="2"/>
      <c r="B65" s="2" t="s">
        <v>91</v>
      </c>
      <c r="C65" s="24">
        <f t="shared" ref="C65:E65" si="31">C63*1.25</f>
        <v>0.437754464285714</v>
      </c>
      <c r="D65" s="24">
        <f t="shared" si="31"/>
        <v>0.406396222568209</v>
      </c>
      <c r="E65" s="24">
        <f t="shared" si="31"/>
        <v>0.283726320876289</v>
      </c>
      <c r="F65" s="24">
        <f t="shared" ref="F65:J65" si="32">F63*1.25</f>
        <v>0.569074803149606</v>
      </c>
      <c r="G65" s="24">
        <f t="shared" si="32"/>
        <v>0.437064590130506</v>
      </c>
      <c r="H65" s="24">
        <f t="shared" si="32"/>
        <v>0.40271484375</v>
      </c>
      <c r="I65" s="24"/>
      <c r="J65" s="24">
        <f>J63*1.25</f>
        <v>0.724869791666667</v>
      </c>
    </row>
    <row r="66" s="67" customFormat="1" ht="45" spans="1:10">
      <c r="A66" s="48" t="s">
        <v>92</v>
      </c>
      <c r="B66" s="51" t="s">
        <v>93</v>
      </c>
      <c r="C66" s="77">
        <f t="shared" ref="C66:E66" si="33">C13</f>
        <v>361.95</v>
      </c>
      <c r="D66" s="77">
        <f t="shared" si="33"/>
        <v>209.55</v>
      </c>
      <c r="E66" s="77">
        <f t="shared" si="33"/>
        <v>209.55</v>
      </c>
      <c r="F66" s="77">
        <f t="shared" ref="F66:J66" si="34">F13</f>
        <v>361.95</v>
      </c>
      <c r="G66" s="77">
        <f t="shared" si="34"/>
        <v>361.95</v>
      </c>
      <c r="H66" s="77">
        <f t="shared" si="34"/>
        <v>276.225</v>
      </c>
      <c r="I66" s="77"/>
      <c r="J66" s="77">
        <f>J13</f>
        <v>725</v>
      </c>
    </row>
    <row r="67" ht="33" spans="1:10">
      <c r="A67" s="2"/>
      <c r="B67" s="41" t="s">
        <v>94</v>
      </c>
      <c r="C67" s="78">
        <f t="shared" ref="C67:E67" si="35">C66</f>
        <v>361.95</v>
      </c>
      <c r="D67" s="78">
        <f t="shared" si="35"/>
        <v>209.55</v>
      </c>
      <c r="E67" s="78">
        <f t="shared" si="35"/>
        <v>209.55</v>
      </c>
      <c r="F67" s="78">
        <f t="shared" ref="F67:J67" si="36">F66</f>
        <v>361.95</v>
      </c>
      <c r="G67" s="78">
        <f t="shared" si="36"/>
        <v>361.95</v>
      </c>
      <c r="H67" s="78">
        <f t="shared" si="36"/>
        <v>276.225</v>
      </c>
      <c r="I67" s="78"/>
      <c r="J67" s="78">
        <f>J66</f>
        <v>725</v>
      </c>
    </row>
    <row r="68" ht="33" spans="1:10">
      <c r="A68" s="2"/>
      <c r="B68" s="41" t="s">
        <v>95</v>
      </c>
      <c r="C68" s="79">
        <v>0.3</v>
      </c>
      <c r="D68" s="79">
        <v>0.3</v>
      </c>
      <c r="E68" s="79">
        <v>0.35</v>
      </c>
      <c r="F68" s="79">
        <v>0.31</v>
      </c>
      <c r="G68" s="79">
        <v>0.31</v>
      </c>
      <c r="H68" s="79">
        <v>0.31</v>
      </c>
      <c r="I68" s="79"/>
      <c r="J68" s="79">
        <v>0.3</v>
      </c>
    </row>
    <row r="69" ht="33" spans="1:10">
      <c r="A69" s="2"/>
      <c r="B69" s="41" t="s">
        <v>96</v>
      </c>
      <c r="C69" s="80">
        <v>180</v>
      </c>
      <c r="D69" s="80">
        <v>180</v>
      </c>
      <c r="E69" s="80">
        <v>180</v>
      </c>
      <c r="F69" s="80">
        <v>180</v>
      </c>
      <c r="G69" s="80">
        <v>180</v>
      </c>
      <c r="H69" s="80">
        <v>180</v>
      </c>
      <c r="I69" s="80"/>
      <c r="J69" s="80">
        <v>180</v>
      </c>
    </row>
    <row r="70" ht="49.5" spans="1:10">
      <c r="A70" s="2"/>
      <c r="B70" s="41" t="s">
        <v>97</v>
      </c>
      <c r="C70" s="81">
        <f>'枪械实际规格（苏系）'!B5</f>
        <v>31496</v>
      </c>
      <c r="D70" s="81">
        <f>'枪械实际规格（苏系）'!C5</f>
        <v>19212.56</v>
      </c>
      <c r="E70" s="81">
        <f>'枪械实际规格（苏系）'!D5</f>
        <v>18897.6</v>
      </c>
      <c r="F70" s="81">
        <f>'枪械实际规格（苏系）'!E5</f>
        <v>33070.8</v>
      </c>
      <c r="G70" s="81">
        <f>'枪械实际规格（苏系）'!F5</f>
        <v>33070.8</v>
      </c>
      <c r="H70" s="81">
        <f>'枪械实际规格（苏系）'!G5</f>
        <v>28149.55</v>
      </c>
      <c r="I70" s="81"/>
      <c r="J70" s="81">
        <f>'枪械实际规格（苏系）'!I5</f>
        <v>39881.81</v>
      </c>
    </row>
    <row r="71" ht="16.5" spans="2:10">
      <c r="B71" s="2" t="s">
        <v>98</v>
      </c>
      <c r="C71" s="80" t="s">
        <v>24</v>
      </c>
      <c r="D71" s="80" t="s">
        <v>24</v>
      </c>
      <c r="E71" s="80" t="s">
        <v>24</v>
      </c>
      <c r="F71" s="80" t="s">
        <v>24</v>
      </c>
      <c r="G71" s="80" t="s">
        <v>24</v>
      </c>
      <c r="H71" s="80" t="s">
        <v>24</v>
      </c>
      <c r="I71" s="80"/>
      <c r="J71" s="80" t="s">
        <v>24</v>
      </c>
    </row>
    <row r="72" s="67" customFormat="1" ht="49.5" spans="2:10">
      <c r="B72" s="51" t="s">
        <v>99</v>
      </c>
      <c r="C72" s="82">
        <v>1</v>
      </c>
      <c r="D72" s="82">
        <v>1</v>
      </c>
      <c r="E72" s="82">
        <v>1</v>
      </c>
      <c r="F72" s="82">
        <v>1</v>
      </c>
      <c r="G72" s="82">
        <v>1</v>
      </c>
      <c r="H72" s="82">
        <v>1</v>
      </c>
      <c r="I72" s="82"/>
      <c r="J72" s="82">
        <v>1</v>
      </c>
    </row>
    <row r="73" ht="49.5" spans="2:10">
      <c r="B73" s="41" t="s">
        <v>100</v>
      </c>
      <c r="C73" s="79">
        <v>1</v>
      </c>
      <c r="D73" s="79">
        <v>3</v>
      </c>
      <c r="E73" s="79">
        <v>3</v>
      </c>
      <c r="F73" s="79">
        <v>1</v>
      </c>
      <c r="G73" s="79">
        <v>1</v>
      </c>
      <c r="H73" s="79">
        <v>2</v>
      </c>
      <c r="I73" s="79"/>
      <c r="J73" s="79">
        <v>1</v>
      </c>
    </row>
    <row r="74" ht="33" spans="2:10">
      <c r="B74" s="41" t="s">
        <v>101</v>
      </c>
      <c r="C74" s="83">
        <f>100*39.37</f>
        <v>3937</v>
      </c>
      <c r="D74" s="83">
        <f>20*39.37</f>
        <v>787.4</v>
      </c>
      <c r="E74" s="83">
        <f>10*39.37</f>
        <v>393.7</v>
      </c>
      <c r="F74" s="83">
        <f>150*39.37</f>
        <v>5905.5</v>
      </c>
      <c r="G74" s="78">
        <f>75*39.37</f>
        <v>2952.75</v>
      </c>
      <c r="H74" s="83">
        <f>50*39.37</f>
        <v>1968.5</v>
      </c>
      <c r="I74" s="83"/>
      <c r="J74" s="83">
        <f>100*39.37</f>
        <v>3937</v>
      </c>
    </row>
    <row r="75" ht="33" spans="2:10">
      <c r="B75" s="41" t="s">
        <v>102</v>
      </c>
      <c r="C75" s="79">
        <v>2</v>
      </c>
      <c r="D75" s="79">
        <v>2</v>
      </c>
      <c r="E75" s="79">
        <v>2</v>
      </c>
      <c r="F75" s="79">
        <v>2</v>
      </c>
      <c r="G75" s="79">
        <v>2</v>
      </c>
      <c r="H75" s="79">
        <v>2</v>
      </c>
      <c r="I75" s="79"/>
      <c r="J75" s="79">
        <v>2</v>
      </c>
    </row>
    <row r="76" ht="49.5" spans="2:10">
      <c r="B76" s="41" t="s">
        <v>103</v>
      </c>
      <c r="C76" s="79">
        <v>-192</v>
      </c>
      <c r="D76" s="79">
        <v>-192</v>
      </c>
      <c r="E76" s="79">
        <v>-192</v>
      </c>
      <c r="F76" s="79">
        <v>-192</v>
      </c>
      <c r="G76" s="79">
        <v>-192</v>
      </c>
      <c r="H76" s="79">
        <v>-192</v>
      </c>
      <c r="I76" s="79"/>
      <c r="J76" s="79">
        <v>-192</v>
      </c>
    </row>
    <row r="77" spans="3:10">
      <c r="C77" s="84"/>
      <c r="D77" s="84"/>
      <c r="E77" s="84"/>
      <c r="F77" s="84"/>
      <c r="G77" s="84"/>
      <c r="H77" s="84"/>
      <c r="I77" s="84"/>
      <c r="J77" s="84"/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7"/>
  <sheetViews>
    <sheetView zoomScale="85" zoomScaleNormal="85" topLeftCell="B1" workbookViewId="0">
      <pane xSplit="1" ySplit="1" topLeftCell="C14" activePane="bottomRight" state="frozen"/>
      <selection/>
      <selection pane="topRight"/>
      <selection pane="bottomLeft"/>
      <selection pane="bottomRight" activeCell="F33" sqref="F33"/>
    </sheetView>
  </sheetViews>
  <sheetFormatPr defaultColWidth="8.125" defaultRowHeight="13.5"/>
  <cols>
    <col min="1" max="1" width="14.875" style="50" customWidth="1"/>
    <col min="2" max="2" width="31.9833333333333" style="50" customWidth="1"/>
    <col min="3" max="3" width="17" style="50" customWidth="1"/>
    <col min="4" max="4" width="15.25" style="50" customWidth="1"/>
    <col min="5" max="5" width="17" style="50" customWidth="1"/>
    <col min="6" max="6" width="13.625" style="50" customWidth="1"/>
    <col min="7" max="7" width="17" style="50" customWidth="1"/>
    <col min="8" max="12" width="15.625" style="50" customWidth="1"/>
    <col min="13" max="16384" width="8.125" style="50"/>
  </cols>
  <sheetData>
    <row r="1" ht="15" spans="1:13">
      <c r="A1" s="40"/>
      <c r="B1" s="40"/>
      <c r="C1" s="40" t="s">
        <v>126</v>
      </c>
      <c r="D1" s="40" t="s">
        <v>127</v>
      </c>
      <c r="E1" s="40" t="s">
        <v>128</v>
      </c>
      <c r="F1" s="40" t="s">
        <v>129</v>
      </c>
      <c r="G1" s="40"/>
      <c r="H1" s="40"/>
      <c r="I1" s="40"/>
      <c r="J1" s="40"/>
      <c r="K1" s="40"/>
      <c r="L1" s="40"/>
      <c r="M1" s="40"/>
    </row>
    <row r="2" s="48" customFormat="1" ht="30" spans="1:16">
      <c r="A2" s="48" t="s">
        <v>9</v>
      </c>
      <c r="B2" s="51" t="s">
        <v>10</v>
      </c>
      <c r="C2" s="51" t="s">
        <v>11</v>
      </c>
      <c r="D2" s="51" t="s">
        <v>11</v>
      </c>
      <c r="E2" s="51" t="s">
        <v>11</v>
      </c>
      <c r="F2" s="51" t="s">
        <v>11</v>
      </c>
      <c r="G2" s="51"/>
      <c r="H2" s="51"/>
      <c r="I2" s="51"/>
      <c r="J2" s="51"/>
      <c r="K2" s="51"/>
      <c r="L2" s="51"/>
      <c r="M2" s="51"/>
      <c r="N2" s="50"/>
      <c r="O2" s="50"/>
      <c r="P2" s="50"/>
    </row>
    <row r="3" ht="16.5" spans="2:7">
      <c r="B3" s="41" t="s">
        <v>12</v>
      </c>
      <c r="C3" s="41" t="s">
        <v>14</v>
      </c>
      <c r="D3" s="41" t="s">
        <v>13</v>
      </c>
      <c r="E3" s="41" t="s">
        <v>13</v>
      </c>
      <c r="F3" s="41" t="s">
        <v>15</v>
      </c>
      <c r="G3" s="41"/>
    </row>
    <row r="4" ht="16.5" spans="1:7">
      <c r="A4" s="41"/>
      <c r="B4" s="41" t="s">
        <v>16</v>
      </c>
      <c r="C4" s="41" t="s">
        <v>18</v>
      </c>
      <c r="D4" s="41" t="s">
        <v>17</v>
      </c>
      <c r="E4" s="41" t="s">
        <v>17</v>
      </c>
      <c r="F4" s="41" t="s">
        <v>18</v>
      </c>
      <c r="G4" s="41"/>
    </row>
    <row r="5" ht="16.5" spans="1:7">
      <c r="A5" s="41"/>
      <c r="B5" s="41" t="s">
        <v>19</v>
      </c>
      <c r="C5" s="41" t="s">
        <v>21</v>
      </c>
      <c r="D5" s="41" t="s">
        <v>20</v>
      </c>
      <c r="E5" s="41" t="s">
        <v>20</v>
      </c>
      <c r="F5" s="41" t="s">
        <v>21</v>
      </c>
      <c r="G5" s="41"/>
    </row>
    <row r="6" ht="33" spans="1:7">
      <c r="A6" s="41"/>
      <c r="B6" s="41" t="s">
        <v>22</v>
      </c>
      <c r="C6" s="41" t="s">
        <v>24</v>
      </c>
      <c r="D6" s="41" t="s">
        <v>23</v>
      </c>
      <c r="E6" s="41" t="s">
        <v>23</v>
      </c>
      <c r="F6" s="41" t="s">
        <v>24</v>
      </c>
      <c r="G6" s="41"/>
    </row>
    <row r="7" ht="33" spans="1:7">
      <c r="A7" s="41"/>
      <c r="B7" s="41" t="s">
        <v>25</v>
      </c>
      <c r="C7" s="41" t="s">
        <v>23</v>
      </c>
      <c r="D7" s="41" t="s">
        <v>23</v>
      </c>
      <c r="E7" s="41" t="s">
        <v>23</v>
      </c>
      <c r="F7" s="41" t="s">
        <v>23</v>
      </c>
      <c r="G7" s="41"/>
    </row>
    <row r="8" ht="33" spans="1:7">
      <c r="A8" s="41"/>
      <c r="B8" s="41" t="s">
        <v>26</v>
      </c>
      <c r="C8" s="41" t="s">
        <v>23</v>
      </c>
      <c r="D8" s="41" t="s">
        <v>23</v>
      </c>
      <c r="E8" s="41" t="s">
        <v>23</v>
      </c>
      <c r="F8" s="41" t="s">
        <v>23</v>
      </c>
      <c r="G8" s="41"/>
    </row>
    <row r="9" ht="33" spans="1:7">
      <c r="A9" s="41"/>
      <c r="B9" s="41" t="s">
        <v>27</v>
      </c>
      <c r="C9" s="41" t="s">
        <v>23</v>
      </c>
      <c r="D9" s="41" t="s">
        <v>23</v>
      </c>
      <c r="E9" s="41" t="s">
        <v>23</v>
      </c>
      <c r="F9" s="41" t="s">
        <v>23</v>
      </c>
      <c r="G9" s="41"/>
    </row>
    <row r="10" ht="16.5" spans="1:7">
      <c r="A10" s="41"/>
      <c r="B10" s="41" t="s">
        <v>28</v>
      </c>
      <c r="C10" s="41" t="s">
        <v>24</v>
      </c>
      <c r="D10" s="41" t="s">
        <v>24</v>
      </c>
      <c r="E10" s="41" t="s">
        <v>24</v>
      </c>
      <c r="F10" s="41" t="s">
        <v>24</v>
      </c>
      <c r="G10" s="41"/>
    </row>
    <row r="11" ht="33" spans="1:7">
      <c r="A11" s="41"/>
      <c r="B11" s="41" t="s">
        <v>29</v>
      </c>
      <c r="C11" s="41" t="s">
        <v>30</v>
      </c>
      <c r="D11" s="41" t="s">
        <v>31</v>
      </c>
      <c r="E11" s="41" t="s">
        <v>30</v>
      </c>
      <c r="F11" s="41" t="s">
        <v>31</v>
      </c>
      <c r="G11" s="41"/>
    </row>
    <row r="12" ht="16.5" spans="1:7">
      <c r="A12" s="41"/>
      <c r="B12" s="41" t="s">
        <v>32</v>
      </c>
      <c r="C12" s="41" t="s">
        <v>23</v>
      </c>
      <c r="D12" s="41" t="s">
        <v>23</v>
      </c>
      <c r="E12" s="41" t="s">
        <v>23</v>
      </c>
      <c r="F12" s="41" t="s">
        <v>23</v>
      </c>
      <c r="G12" s="41"/>
    </row>
    <row r="13" s="49" customFormat="1" ht="30" spans="1:7">
      <c r="A13" s="48" t="s">
        <v>33</v>
      </c>
      <c r="B13" s="51" t="s">
        <v>34</v>
      </c>
      <c r="C13" s="52">
        <f>一些设定!F6/2</f>
        <v>308</v>
      </c>
      <c r="D13" s="52">
        <f>一些设定!O6/2</f>
        <v>110</v>
      </c>
      <c r="E13" s="52">
        <f>一些设定!O6/2</f>
        <v>110</v>
      </c>
      <c r="F13" s="52">
        <f>一些设定!F6/2</f>
        <v>308</v>
      </c>
      <c r="G13" s="52"/>
    </row>
    <row r="14" ht="33" spans="1:7">
      <c r="A14" s="41"/>
      <c r="B14" s="41" t="s">
        <v>35</v>
      </c>
      <c r="C14" s="41">
        <v>1</v>
      </c>
      <c r="D14" s="41">
        <v>1</v>
      </c>
      <c r="E14" s="41">
        <v>1</v>
      </c>
      <c r="F14" s="41">
        <v>1</v>
      </c>
      <c r="G14" s="41"/>
    </row>
    <row r="15" ht="16.5" spans="1:7">
      <c r="A15" s="41"/>
      <c r="B15" s="41" t="s">
        <v>36</v>
      </c>
      <c r="C15" s="36">
        <f t="shared" ref="C15" si="0">7.7</f>
        <v>7.7</v>
      </c>
      <c r="D15" s="36">
        <f>8</f>
        <v>8</v>
      </c>
      <c r="E15" s="36">
        <f>8</f>
        <v>8</v>
      </c>
      <c r="F15" s="36">
        <f>7.7</f>
        <v>7.7</v>
      </c>
      <c r="G15" s="36"/>
    </row>
    <row r="16" ht="33" spans="1:7">
      <c r="A16" s="41"/>
      <c r="B16" s="41" t="s">
        <v>37</v>
      </c>
      <c r="C16" s="41">
        <f t="shared" ref="C16" si="1">1000*39.37</f>
        <v>39370</v>
      </c>
      <c r="D16" s="36">
        <f>200*39.37</f>
        <v>7874</v>
      </c>
      <c r="E16" s="53">
        <f>100*39.37</f>
        <v>3937</v>
      </c>
      <c r="F16" s="41">
        <f>1000*39.37</f>
        <v>39370</v>
      </c>
      <c r="G16" s="41"/>
    </row>
    <row r="17" ht="16.5" spans="1:7">
      <c r="A17" s="41"/>
      <c r="B17" s="41" t="s">
        <v>38</v>
      </c>
      <c r="C17" s="41">
        <v>300</v>
      </c>
      <c r="D17" s="41">
        <v>300</v>
      </c>
      <c r="E17" s="41">
        <v>300</v>
      </c>
      <c r="F17" s="41">
        <v>300</v>
      </c>
      <c r="G17" s="41"/>
    </row>
    <row r="18" ht="16.5" spans="1:7">
      <c r="A18" s="41"/>
      <c r="B18" s="41" t="s">
        <v>39</v>
      </c>
      <c r="C18" s="36">
        <f t="shared" ref="C18:G18" si="2">C13/10</f>
        <v>30.8</v>
      </c>
      <c r="D18" s="36">
        <f t="shared" si="2"/>
        <v>11</v>
      </c>
      <c r="E18" s="36">
        <f t="shared" si="2"/>
        <v>11</v>
      </c>
      <c r="F18" s="36">
        <f t="shared" si="2"/>
        <v>30.8</v>
      </c>
      <c r="G18" s="36"/>
    </row>
    <row r="19" s="49" customFormat="1" ht="30" spans="1:7">
      <c r="A19" s="48" t="s">
        <v>40</v>
      </c>
      <c r="B19" s="51" t="s">
        <v>41</v>
      </c>
      <c r="C19" s="51">
        <f>5*30</f>
        <v>150</v>
      </c>
      <c r="D19" s="51">
        <f>30*9</f>
        <v>270</v>
      </c>
      <c r="E19" s="51">
        <f>8*10</f>
        <v>80</v>
      </c>
      <c r="F19" s="51">
        <f>30*8</f>
        <v>240</v>
      </c>
      <c r="G19" s="51"/>
    </row>
    <row r="20" ht="16.5" spans="1:7">
      <c r="A20" s="41"/>
      <c r="B20" s="41" t="s">
        <v>42</v>
      </c>
      <c r="C20" s="41">
        <v>75</v>
      </c>
      <c r="D20" s="41">
        <v>150</v>
      </c>
      <c r="E20" s="41">
        <v>40</v>
      </c>
      <c r="F20" s="41">
        <v>90</v>
      </c>
      <c r="G20" s="41"/>
    </row>
    <row r="21" ht="33" spans="1:7">
      <c r="A21" s="41"/>
      <c r="B21" s="41" t="s">
        <v>43</v>
      </c>
      <c r="C21" s="41">
        <v>5</v>
      </c>
      <c r="D21" s="41">
        <v>30</v>
      </c>
      <c r="E21" s="41">
        <v>8</v>
      </c>
      <c r="F21" s="41">
        <v>30</v>
      </c>
      <c r="G21" s="41"/>
    </row>
    <row r="22" ht="33" spans="1:7">
      <c r="A22" s="41"/>
      <c r="B22" s="41" t="s">
        <v>44</v>
      </c>
      <c r="C22" s="41" t="s">
        <v>23</v>
      </c>
      <c r="D22" s="41" t="s">
        <v>23</v>
      </c>
      <c r="E22" s="41" t="s">
        <v>23</v>
      </c>
      <c r="F22" s="41" t="s">
        <v>23</v>
      </c>
      <c r="G22" s="41"/>
    </row>
    <row r="23" ht="33" spans="1:7">
      <c r="A23" s="41"/>
      <c r="B23" s="41" t="s">
        <v>45</v>
      </c>
      <c r="C23" s="41" t="s">
        <v>23</v>
      </c>
      <c r="D23" s="41" t="s">
        <v>23</v>
      </c>
      <c r="E23" s="41" t="s">
        <v>23</v>
      </c>
      <c r="F23" s="41" t="s">
        <v>23</v>
      </c>
      <c r="G23" s="41"/>
    </row>
    <row r="24" s="49" customFormat="1" ht="33" spans="1:7">
      <c r="A24" s="48" t="s">
        <v>46</v>
      </c>
      <c r="B24" s="51" t="s">
        <v>47</v>
      </c>
      <c r="C24" s="51">
        <v>60</v>
      </c>
      <c r="D24" s="51">
        <v>60</v>
      </c>
      <c r="E24" s="51">
        <v>60</v>
      </c>
      <c r="F24" s="51">
        <v>60</v>
      </c>
      <c r="G24" s="51"/>
    </row>
    <row r="25" ht="16.5" spans="1:7">
      <c r="A25" s="41"/>
      <c r="B25" s="41" t="s">
        <v>48</v>
      </c>
      <c r="C25" s="37">
        <f>(1/'枪械实际规格（日系）'!B2)^0.0625</f>
        <v>0.919948520327174</v>
      </c>
      <c r="D25" s="37">
        <f>(1/'枪械实际规格（日系）'!C2)^0.0625</f>
        <v>0.911557791894244</v>
      </c>
      <c r="E25" s="37">
        <f>(1/'枪械实际规格（日系）'!D2)^0.0625</f>
        <v>1.01688340586014</v>
      </c>
      <c r="F25" s="37">
        <f>(1/'枪械实际规格（日系）'!E2)^0.0625</f>
        <v>0.863844189312769</v>
      </c>
      <c r="G25" s="37"/>
    </row>
    <row r="26" ht="33" spans="1:7">
      <c r="A26" s="41"/>
      <c r="B26" s="41" t="s">
        <v>49</v>
      </c>
      <c r="C26" s="37">
        <f t="shared" ref="C26:G26" si="3">0.1+C25*0.75</f>
        <v>0.78996139024538</v>
      </c>
      <c r="D26" s="37">
        <f t="shared" si="3"/>
        <v>0.783668343920683</v>
      </c>
      <c r="E26" s="37">
        <f t="shared" si="3"/>
        <v>0.862662554395105</v>
      </c>
      <c r="F26" s="37">
        <f t="shared" si="3"/>
        <v>0.747883141984577</v>
      </c>
      <c r="G26" s="37"/>
    </row>
    <row r="27" ht="33" spans="1:7">
      <c r="A27" s="41"/>
      <c r="B27" s="41" t="s">
        <v>50</v>
      </c>
      <c r="C27" s="37">
        <f>2-('枪械实际规格（日系）'!B2/10)+(1/'枪械实际规格（日系）'!B2)^10</f>
        <v>1.62000159281022</v>
      </c>
      <c r="D27" s="37">
        <f>2-('枪械实际规格（日系）'!C2/10)+(1/'枪械实际规格（日系）'!C2)^10</f>
        <v>1.56000036768273</v>
      </c>
      <c r="E27" s="37">
        <f>2-('枪械实际规格（日系）'!D2/10)+(1/'枪械实际规格（日系）'!D2)^10</f>
        <v>16.4910208536959</v>
      </c>
      <c r="F27" s="37">
        <f>2-('枪械实际规格（日系）'!E2/10)+(1/'枪械实际规格（日系）'!E2)^10</f>
        <v>0.960000000067556</v>
      </c>
      <c r="G27" s="37"/>
    </row>
    <row r="28" ht="16.5" spans="1:7">
      <c r="A28" s="41"/>
      <c r="B28" s="41" t="s">
        <v>51</v>
      </c>
      <c r="C28" s="37">
        <f>0.1+((('枪械实际规格（日系）'!B2*100/'枪械实际规格（日系）'!B3)/4)+'枪械实际规格（日系）'!B3/15000*3)/2*1.1</f>
        <v>0.269715241502683</v>
      </c>
      <c r="D28" s="37">
        <f>0.1+((('枪械实际规格（日系）'!C2*100/'枪械实际规格（日系）'!C3)/4)+'枪械实际规格（日系）'!C3/15000*3)/2*1.1</f>
        <v>0.266222222222222</v>
      </c>
      <c r="E28" s="37">
        <f>0.1+((('枪械实际规格（日系）'!D2*100/'枪械实际规格（日系）'!D3)/4)+'枪械实际规格（日系）'!D3/15000*3)/2*1.1</f>
        <v>0.17682</v>
      </c>
      <c r="F28" s="37">
        <f>0.1+((('枪械实际规格（日系）'!E2*100/'枪械实际规格（日系）'!E3)/4)+'枪械实际规格（日系）'!E3/15000*3)/2*1.1</f>
        <v>0.35099382726503</v>
      </c>
      <c r="G28" s="37"/>
    </row>
    <row r="29" ht="16.5" spans="1:7">
      <c r="A29" s="41"/>
      <c r="B29" s="41" t="s">
        <v>52</v>
      </c>
      <c r="C29" s="37">
        <f t="shared" ref="C29:G29" si="4">C28*0.75</f>
        <v>0.202286431127012</v>
      </c>
      <c r="D29" s="37">
        <f t="shared" si="4"/>
        <v>0.199666666666667</v>
      </c>
      <c r="E29" s="37">
        <f t="shared" si="4"/>
        <v>0.132615</v>
      </c>
      <c r="F29" s="37">
        <f t="shared" si="4"/>
        <v>0.263245370448772</v>
      </c>
      <c r="G29" s="37"/>
    </row>
    <row r="30" ht="16.5" spans="1:7">
      <c r="A30" s="41"/>
      <c r="B30" s="41" t="s">
        <v>53</v>
      </c>
      <c r="C30" s="36">
        <f t="shared" ref="C30:F30" si="5">C28*800</f>
        <v>215.772193202146</v>
      </c>
      <c r="D30" s="36">
        <f t="shared" si="5"/>
        <v>212.977777777778</v>
      </c>
      <c r="E30" s="36">
        <f t="shared" si="5"/>
        <v>141.456</v>
      </c>
      <c r="F30" s="36">
        <f t="shared" si="5"/>
        <v>280.795061812024</v>
      </c>
      <c r="G30" s="36"/>
    </row>
    <row r="31" ht="16.5" spans="1:7">
      <c r="A31" s="41"/>
      <c r="B31" s="41" t="s">
        <v>54</v>
      </c>
      <c r="C31" s="38">
        <f>'枪械实际规格（日系）'!B2^0.25</f>
        <v>1.39619442376833</v>
      </c>
      <c r="D31" s="38">
        <f>'枪械实际规格（日系）'!C2^0.25</f>
        <v>1.44831546851517</v>
      </c>
      <c r="E31" s="38">
        <f>'枪械实际规格（日系）'!D2^0.25</f>
        <v>0.935223387339514</v>
      </c>
      <c r="F31" s="38">
        <f>'枪械实际规格（日系）'!E2^0.25</f>
        <v>1.7958015200237</v>
      </c>
      <c r="G31" s="38"/>
    </row>
    <row r="32" ht="33" spans="1:7">
      <c r="A32" s="41"/>
      <c r="B32" s="41" t="s">
        <v>55</v>
      </c>
      <c r="C32" s="36">
        <f t="shared" ref="C32:G32" si="6">C30*0.9</f>
        <v>194.194973881932</v>
      </c>
      <c r="D32" s="36">
        <f t="shared" si="6"/>
        <v>191.68</v>
      </c>
      <c r="E32" s="36">
        <f t="shared" si="6"/>
        <v>127.3104</v>
      </c>
      <c r="F32" s="36">
        <f t="shared" si="6"/>
        <v>252.715555630822</v>
      </c>
      <c r="G32" s="36"/>
    </row>
    <row r="33" ht="33" spans="1:7">
      <c r="A33" s="41"/>
      <c r="B33" s="41" t="s">
        <v>56</v>
      </c>
      <c r="C33" s="38">
        <f t="shared" ref="C33:G33" si="7">C31*1</f>
        <v>1.39619442376833</v>
      </c>
      <c r="D33" s="38">
        <f t="shared" si="7"/>
        <v>1.44831546851517</v>
      </c>
      <c r="E33" s="38">
        <f t="shared" si="7"/>
        <v>0.935223387339514</v>
      </c>
      <c r="F33" s="38">
        <f t="shared" si="7"/>
        <v>1.7958015200237</v>
      </c>
      <c r="G33" s="38"/>
    </row>
    <row r="34" ht="16.5" spans="1:7">
      <c r="A34" s="41"/>
      <c r="B34" s="41" t="s">
        <v>57</v>
      </c>
      <c r="C34" s="41">
        <v>0.5</v>
      </c>
      <c r="D34" s="41">
        <v>0.5</v>
      </c>
      <c r="E34" s="41">
        <v>0.5</v>
      </c>
      <c r="F34" s="41">
        <v>0.5</v>
      </c>
      <c r="G34" s="41"/>
    </row>
    <row r="35" ht="16.5" spans="1:7">
      <c r="A35" s="41"/>
      <c r="B35" s="41" t="s">
        <v>58</v>
      </c>
      <c r="C35" s="41">
        <v>0.1</v>
      </c>
      <c r="D35" s="41">
        <v>0.1</v>
      </c>
      <c r="E35" s="41">
        <v>0.1</v>
      </c>
      <c r="F35" s="41">
        <v>0.1</v>
      </c>
      <c r="G35" s="41"/>
    </row>
    <row r="36" ht="16.5" spans="1:7">
      <c r="A36" s="41"/>
      <c r="B36" s="41" t="s">
        <v>59</v>
      </c>
      <c r="C36" s="41">
        <v>0</v>
      </c>
      <c r="D36" s="41">
        <v>0</v>
      </c>
      <c r="E36" s="41">
        <v>0</v>
      </c>
      <c r="F36" s="41">
        <v>0</v>
      </c>
      <c r="G36" s="41"/>
    </row>
    <row r="37" ht="33" spans="1:7">
      <c r="A37" s="41"/>
      <c r="B37" s="41" t="s">
        <v>60</v>
      </c>
      <c r="C37" s="41">
        <v>0.9</v>
      </c>
      <c r="D37" s="41">
        <v>0.9</v>
      </c>
      <c r="E37" s="41">
        <v>1</v>
      </c>
      <c r="F37" s="41">
        <v>0.85</v>
      </c>
      <c r="G37" s="41"/>
    </row>
    <row r="38" s="49" customFormat="1" ht="33" spans="1:7">
      <c r="A38" s="48" t="s">
        <v>61</v>
      </c>
      <c r="B38" s="51" t="s">
        <v>62</v>
      </c>
      <c r="C38" s="54">
        <f>2.25*1.134/10</f>
        <v>0.25515</v>
      </c>
      <c r="D38" s="54">
        <f>18*1.134/10</f>
        <v>2.0412</v>
      </c>
      <c r="E38" s="54">
        <f>20*1.134/10</f>
        <v>2.268</v>
      </c>
      <c r="F38" s="54">
        <f>6*1.134/10</f>
        <v>0.6804</v>
      </c>
      <c r="G38" s="54"/>
    </row>
    <row r="39" s="49" customFormat="1" ht="33" spans="1:7">
      <c r="A39" s="51"/>
      <c r="B39" s="51" t="s">
        <v>63</v>
      </c>
      <c r="C39" s="55">
        <f t="shared" ref="C39:G39" si="8">(C32/10*2.5-1/C38/10)/4</f>
        <v>12.0392042881577</v>
      </c>
      <c r="D39" s="55">
        <f t="shared" si="8"/>
        <v>11.9677523025671</v>
      </c>
      <c r="E39" s="55">
        <f t="shared" si="8"/>
        <v>7.94587707231041</v>
      </c>
      <c r="F39" s="55">
        <f t="shared" si="8"/>
        <v>15.7579791346277</v>
      </c>
      <c r="G39" s="55"/>
    </row>
    <row r="40" ht="33" spans="1:7">
      <c r="A40" s="41"/>
      <c r="B40" s="41" t="s">
        <v>64</v>
      </c>
      <c r="C40" s="37">
        <f t="shared" ref="C40:G40" si="9">C39*0.95</f>
        <v>11.4372440737498</v>
      </c>
      <c r="D40" s="37">
        <f t="shared" si="9"/>
        <v>11.3693646874388</v>
      </c>
      <c r="E40" s="37">
        <f t="shared" si="9"/>
        <v>7.54858321869489</v>
      </c>
      <c r="F40" s="37">
        <f t="shared" si="9"/>
        <v>14.9700801778963</v>
      </c>
      <c r="G40" s="37"/>
    </row>
    <row r="41" ht="33" spans="1:7">
      <c r="A41" s="41"/>
      <c r="B41" s="41" t="s">
        <v>65</v>
      </c>
      <c r="C41" s="37">
        <f t="shared" ref="C41:G41" si="10">C39*0.9</f>
        <v>10.8352838593419</v>
      </c>
      <c r="D41" s="37">
        <f t="shared" si="10"/>
        <v>10.7709770723104</v>
      </c>
      <c r="E41" s="37">
        <f t="shared" si="10"/>
        <v>7.15128936507937</v>
      </c>
      <c r="F41" s="37">
        <f t="shared" si="10"/>
        <v>14.1821812211649</v>
      </c>
      <c r="G41" s="37"/>
    </row>
    <row r="42" s="49" customFormat="1" ht="33" spans="1:7">
      <c r="A42" s="51"/>
      <c r="B42" s="51" t="s">
        <v>66</v>
      </c>
      <c r="C42" s="55">
        <f t="shared" ref="C42:G42" si="11">(C30/10*5-1/C38/10)/4</f>
        <v>26.8735425708052</v>
      </c>
      <c r="D42" s="55">
        <f t="shared" si="11"/>
        <v>26.6099745247893</v>
      </c>
      <c r="E42" s="55">
        <f t="shared" si="11"/>
        <v>17.6709770723104</v>
      </c>
      <c r="F42" s="55">
        <f t="shared" si="11"/>
        <v>35.0626396342043</v>
      </c>
      <c r="G42" s="55"/>
    </row>
    <row r="43" ht="33" spans="1:7">
      <c r="A43" s="41"/>
      <c r="B43" s="41" t="s">
        <v>67</v>
      </c>
      <c r="C43" s="37">
        <f t="shared" ref="C43:G43" si="12">C42*0.95</f>
        <v>25.529865442265</v>
      </c>
      <c r="D43" s="37">
        <f t="shared" si="12"/>
        <v>25.2794757985498</v>
      </c>
      <c r="E43" s="37">
        <f t="shared" si="12"/>
        <v>16.7874282186949</v>
      </c>
      <c r="F43" s="37">
        <f t="shared" si="12"/>
        <v>33.3095076524941</v>
      </c>
      <c r="G43" s="37"/>
    </row>
    <row r="44" ht="33" spans="1:7">
      <c r="A44" s="41"/>
      <c r="B44" s="41" t="s">
        <v>68</v>
      </c>
      <c r="C44" s="37">
        <f t="shared" ref="C44:G44" si="13">C42*0.9</f>
        <v>24.1861883137247</v>
      </c>
      <c r="D44" s="37">
        <f t="shared" si="13"/>
        <v>23.9489770723104</v>
      </c>
      <c r="E44" s="37">
        <f t="shared" si="13"/>
        <v>15.9038793650794</v>
      </c>
      <c r="F44" s="37">
        <f t="shared" si="13"/>
        <v>31.5563756707839</v>
      </c>
      <c r="G44" s="37"/>
    </row>
    <row r="45" s="49" customFormat="1" ht="33" spans="1:7">
      <c r="A45" s="51"/>
      <c r="B45" s="51" t="s">
        <v>69</v>
      </c>
      <c r="C45" s="55">
        <f>一些设定!E8*1/'枪械实际规格（日系）'!B2</f>
        <v>1.2924066909671</v>
      </c>
      <c r="D45" s="55">
        <f>一些设定!O8*1/'枪械实际规格（日系）'!C2</f>
        <v>0.689605807454714</v>
      </c>
      <c r="E45" s="55">
        <f>一些设定!O8*1/'枪械实际规格（日系）'!D2</f>
        <v>3.96636019973953</v>
      </c>
      <c r="F45" s="55">
        <f>一些设定!F8*1/'枪械实际规格（日系）'!E2</f>
        <v>0.45592859488211</v>
      </c>
      <c r="G45" s="55"/>
    </row>
    <row r="46" ht="33" spans="1:7">
      <c r="A46" s="41"/>
      <c r="B46" s="41" t="s">
        <v>70</v>
      </c>
      <c r="C46" s="37">
        <f t="shared" ref="C46:G46" si="14">C32/2/100/3</f>
        <v>0.32365828980322</v>
      </c>
      <c r="D46" s="37">
        <f t="shared" si="14"/>
        <v>0.319466666666666</v>
      </c>
      <c r="E46" s="37">
        <f t="shared" si="14"/>
        <v>0.212184</v>
      </c>
      <c r="F46" s="37">
        <f t="shared" si="14"/>
        <v>0.421192592718036</v>
      </c>
      <c r="G46" s="37"/>
    </row>
    <row r="47" ht="33" spans="1:7">
      <c r="A47" s="41"/>
      <c r="B47" s="41" t="s">
        <v>71</v>
      </c>
      <c r="C47" s="37">
        <f t="shared" ref="C47:G47" si="15">C30/10/3</f>
        <v>7.19240644007155</v>
      </c>
      <c r="D47" s="37">
        <f t="shared" si="15"/>
        <v>7.09925925925925</v>
      </c>
      <c r="E47" s="37">
        <f t="shared" si="15"/>
        <v>4.7152</v>
      </c>
      <c r="F47" s="37">
        <f t="shared" si="15"/>
        <v>9.35983539373413</v>
      </c>
      <c r="G47" s="37"/>
    </row>
    <row r="48" ht="33" spans="1:7">
      <c r="A48" s="41"/>
      <c r="B48" s="41" t="s">
        <v>72</v>
      </c>
      <c r="C48" s="37">
        <f t="shared" ref="C48:G48" si="16">3.5+1/(C32/3)*20</f>
        <v>3.80896783166221</v>
      </c>
      <c r="D48" s="37">
        <f t="shared" si="16"/>
        <v>3.81302170283806</v>
      </c>
      <c r="E48" s="37">
        <f t="shared" si="16"/>
        <v>3.97128906986389</v>
      </c>
      <c r="F48" s="37">
        <f t="shared" si="16"/>
        <v>3.7374210794038</v>
      </c>
      <c r="G48" s="37"/>
    </row>
    <row r="49" ht="33" spans="1:7">
      <c r="A49" s="41"/>
      <c r="B49" s="41" t="s">
        <v>73</v>
      </c>
      <c r="C49" s="37">
        <v>1.05</v>
      </c>
      <c r="D49" s="37">
        <v>1.05</v>
      </c>
      <c r="E49" s="37">
        <v>1.05</v>
      </c>
      <c r="F49" s="37">
        <v>1.05</v>
      </c>
      <c r="G49" s="37"/>
    </row>
    <row r="50" ht="33" spans="1:7">
      <c r="A50" s="41"/>
      <c r="B50" s="41" t="s">
        <v>74</v>
      </c>
      <c r="C50" s="37">
        <v>1.1</v>
      </c>
      <c r="D50" s="37">
        <v>1.1</v>
      </c>
      <c r="E50" s="37">
        <v>1.1</v>
      </c>
      <c r="F50" s="37">
        <v>1.1</v>
      </c>
      <c r="G50" s="37"/>
    </row>
    <row r="51" s="49" customFormat="1" ht="49.5" spans="1:7">
      <c r="A51" s="48" t="s">
        <v>75</v>
      </c>
      <c r="B51" s="51" t="s">
        <v>76</v>
      </c>
      <c r="C51" s="52">
        <f>(-(一些设定!F8^0.25*40)+('枪械实际规格（日系）'!B2^0.25*20)+('枪械实际规格（日系）'!B3^0.125*5))*1.5-C30/1.5</f>
        <v>-172.466114794482</v>
      </c>
      <c r="D51" s="52">
        <f>(-(一些设定!O8^0.25*40)+('枪械实际规格（日系）'!C2^0.25*20)+('枪械实际规格（日系）'!C3^0.125*5))*1.5-D30/1.5</f>
        <v>-160.172077639806</v>
      </c>
      <c r="E51" s="52">
        <f>(-(一些设定!O8^0.25*40)+('枪械实际规格（日系）'!D2^0.25*20)+('枪械实际规格（日系）'!D3^0.125*5))*1.5-E30/1.5</f>
        <v>-131.013729346075</v>
      </c>
      <c r="F51" s="52">
        <f>(-(一些设定!F8^0.25*40)+('枪械实际规格（日系）'!E2^0.25*20)+('枪械实际规格（日系）'!E3^0.125*5))*1.5-F30/1.5</f>
        <v>-203.702471274652</v>
      </c>
      <c r="G51" s="52"/>
    </row>
    <row r="52" ht="49.5" spans="1:7">
      <c r="A52" s="41"/>
      <c r="B52" s="41" t="s">
        <v>77</v>
      </c>
      <c r="C52" s="36">
        <f t="shared" ref="C52:G52" si="17">C51*1.5</f>
        <v>-258.699172191723</v>
      </c>
      <c r="D52" s="36">
        <f t="shared" si="17"/>
        <v>-240.25811645971</v>
      </c>
      <c r="E52" s="36">
        <f t="shared" si="17"/>
        <v>-196.520594019113</v>
      </c>
      <c r="F52" s="36">
        <f t="shared" si="17"/>
        <v>-305.553706911977</v>
      </c>
      <c r="G52" s="36"/>
    </row>
    <row r="53" ht="49.5" spans="1:7">
      <c r="A53" s="41"/>
      <c r="B53" s="41" t="s">
        <v>78</v>
      </c>
      <c r="C53" s="36">
        <f t="shared" ref="C53:G53" si="18">-C51*1.1</f>
        <v>189.71272627393</v>
      </c>
      <c r="D53" s="36">
        <f t="shared" si="18"/>
        <v>176.189285403787</v>
      </c>
      <c r="E53" s="36">
        <f t="shared" si="18"/>
        <v>144.115102280683</v>
      </c>
      <c r="F53" s="36">
        <f t="shared" si="18"/>
        <v>224.072718402117</v>
      </c>
      <c r="G53" s="36"/>
    </row>
    <row r="54" ht="49.5" spans="1:7">
      <c r="A54" s="41"/>
      <c r="B54" s="41" t="s">
        <v>79</v>
      </c>
      <c r="C54" s="36">
        <f t="shared" ref="C54:G54" si="19">-C52*1.15</f>
        <v>297.504048020481</v>
      </c>
      <c r="D54" s="36">
        <f t="shared" si="19"/>
        <v>276.296833928666</v>
      </c>
      <c r="E54" s="36">
        <f t="shared" si="19"/>
        <v>225.99868312198</v>
      </c>
      <c r="F54" s="36">
        <f t="shared" si="19"/>
        <v>351.386762948774</v>
      </c>
      <c r="G54" s="36"/>
    </row>
    <row r="55" ht="49.5" spans="1:7">
      <c r="A55" s="41"/>
      <c r="B55" s="41" t="s">
        <v>80</v>
      </c>
      <c r="C55" s="36">
        <f t="shared" ref="C55:G55" si="20">-C51*1.05</f>
        <v>181.089420534206</v>
      </c>
      <c r="D55" s="36">
        <f t="shared" si="20"/>
        <v>168.180681521797</v>
      </c>
      <c r="E55" s="36">
        <f t="shared" si="20"/>
        <v>137.564415813379</v>
      </c>
      <c r="F55" s="36">
        <f t="shared" si="20"/>
        <v>213.887594838384</v>
      </c>
      <c r="G55" s="36"/>
    </row>
    <row r="56" ht="49.5" spans="1:7">
      <c r="A56" s="41"/>
      <c r="B56" s="41" t="s">
        <v>81</v>
      </c>
      <c r="C56" s="36">
        <f t="shared" ref="C56:G56" si="21">-C52*1.1</f>
        <v>284.569089410895</v>
      </c>
      <c r="D56" s="36">
        <f t="shared" si="21"/>
        <v>264.283928105681</v>
      </c>
      <c r="E56" s="36">
        <f t="shared" si="21"/>
        <v>216.172653421024</v>
      </c>
      <c r="F56" s="36">
        <f t="shared" si="21"/>
        <v>336.109077603175</v>
      </c>
      <c r="G56" s="36"/>
    </row>
    <row r="57" ht="33" spans="1:7">
      <c r="A57" s="41"/>
      <c r="B57" s="41" t="s">
        <v>82</v>
      </c>
      <c r="C57" s="36">
        <f>-100+1/((C30/3)^2)*300000+'枪械实际规格（日系）'!B2^2+'枪械实际规格（日系）'!B3^2/1000</f>
        <v>1222.35663100874</v>
      </c>
      <c r="D57" s="36">
        <f>-100+1/((D30/3)^2)*300000+'枪械实际规格（日系）'!C2^2+'枪械实际规格（日系）'!C3^2/1000</f>
        <v>788.884421266942</v>
      </c>
      <c r="E57" s="36">
        <f>-100+1/((E30/3)^2)*300000+'枪械实际规格（日系）'!D2^2+'枪械实际规格（日系）'!D3^2/1000</f>
        <v>70.4881078292021</v>
      </c>
      <c r="F57" s="36">
        <f>-100+1/((F30/3)^2)*300000+'枪械实际规格（日系）'!E2^2+'枪械实际规格（日系）'!E3^2/1000</f>
        <v>1437.16502713425</v>
      </c>
      <c r="G57" s="36"/>
    </row>
    <row r="58" ht="33" spans="1:7">
      <c r="A58" s="41"/>
      <c r="B58" s="41" t="s">
        <v>83</v>
      </c>
      <c r="C58" s="36">
        <f>-100+1/((C32/3)^2)*300000+'枪械实际规格（日系）'!B2^2+'枪械实际规格（日系）'!B3^2/1000</f>
        <v>1235.95984075154</v>
      </c>
      <c r="D58" s="36">
        <f>-100+1/((D32/3)^2)*300000+'枪械实际规格（日系）'!C2^2+'枪械实际规格（日系）'!C3^2/1000</f>
        <v>802.846939835731</v>
      </c>
      <c r="E58" s="36">
        <f>-100+1/((E32/3)^2)*300000+'枪械实际规格（日系）'!D2^2+'枪械实际规格（日系）'!D3^2/1000</f>
        <v>102.139265529879</v>
      </c>
      <c r="F58" s="36">
        <f>-100+1/((F32/3)^2)*300000+'枪械实际规格（日系）'!E2^2+'枪械实际规格（日系）'!E3^2/1000</f>
        <v>1445.19757670895</v>
      </c>
      <c r="G58" s="36"/>
    </row>
    <row r="59" ht="49.5" spans="1:7">
      <c r="A59" s="41"/>
      <c r="B59" s="41" t="s">
        <v>84</v>
      </c>
      <c r="C59" s="41">
        <v>0</v>
      </c>
      <c r="D59" s="36">
        <v>0</v>
      </c>
      <c r="E59" s="36">
        <v>0</v>
      </c>
      <c r="F59" s="36">
        <v>0</v>
      </c>
      <c r="G59" s="41"/>
    </row>
    <row r="60" ht="49.5" spans="1:7">
      <c r="A60" s="41"/>
      <c r="B60" s="41" t="s">
        <v>85</v>
      </c>
      <c r="C60" s="41">
        <v>75</v>
      </c>
      <c r="D60" s="36">
        <v>75</v>
      </c>
      <c r="E60" s="36">
        <v>75</v>
      </c>
      <c r="F60" s="36">
        <v>75</v>
      </c>
      <c r="G60" s="41"/>
    </row>
    <row r="61" ht="33" spans="1:7">
      <c r="A61" s="41"/>
      <c r="B61" s="41" t="s">
        <v>86</v>
      </c>
      <c r="C61" s="36">
        <f>一些设定!F8*10-'枪械实际规格（日系）'!B2-25</f>
        <v>18.6165738677394</v>
      </c>
      <c r="D61" s="36">
        <f>一些设定!O8*10-'枪械实际规格（日系）'!C2-25</f>
        <v>0.9426555280074</v>
      </c>
      <c r="E61" s="36">
        <f>一些设定!O8*10-'枪械实际规格（日系）'!D2-25</f>
        <v>4.5776555280074</v>
      </c>
      <c r="F61" s="36">
        <f>一些设定!F8*10-'枪械实际规格（日系）'!E2-25</f>
        <v>12.0165738677394</v>
      </c>
      <c r="G61" s="36"/>
    </row>
    <row r="62" s="49" customFormat="1" ht="30" spans="1:7">
      <c r="A62" s="48" t="s">
        <v>87</v>
      </c>
      <c r="B62" s="51" t="s">
        <v>88</v>
      </c>
      <c r="C62" s="55">
        <f>1/('枪械实际规格（日系）'!B4/60)</f>
        <v>0.3</v>
      </c>
      <c r="D62" s="55">
        <f>1/('枪械实际规格（日系）'!C4/60)</f>
        <v>0.075</v>
      </c>
      <c r="E62" s="55">
        <f>1/('枪械实际规格（日系）'!D4/60)</f>
        <v>0.15</v>
      </c>
      <c r="F62" s="55">
        <f>1/('枪械实际规格（日系）'!E4/60)</f>
        <v>0.0857142857142857</v>
      </c>
      <c r="G62" s="55"/>
    </row>
    <row r="63" ht="16.5" spans="1:7">
      <c r="A63" s="41"/>
      <c r="B63" s="41" t="s">
        <v>89</v>
      </c>
      <c r="C63" s="37">
        <f t="shared" ref="C63:G63" si="22">C28*1.25</f>
        <v>0.337144051878354</v>
      </c>
      <c r="D63" s="37">
        <f t="shared" si="22"/>
        <v>0.332777777777778</v>
      </c>
      <c r="E63" s="37">
        <f t="shared" si="22"/>
        <v>0.221025</v>
      </c>
      <c r="F63" s="37">
        <f t="shared" si="22"/>
        <v>0.438742284081287</v>
      </c>
      <c r="G63" s="37"/>
    </row>
    <row r="64" ht="16.5" spans="1:7">
      <c r="A64" s="41"/>
      <c r="B64" s="41" t="s">
        <v>90</v>
      </c>
      <c r="C64" s="56">
        <f t="shared" ref="C64:G64" si="23">C29*1.25</f>
        <v>0.252858038908765</v>
      </c>
      <c r="D64" s="56">
        <f t="shared" si="23"/>
        <v>0.249583333333333</v>
      </c>
      <c r="E64" s="56">
        <f t="shared" si="23"/>
        <v>0.16576875</v>
      </c>
      <c r="F64" s="56">
        <f t="shared" si="23"/>
        <v>0.329056713060966</v>
      </c>
      <c r="G64" s="56"/>
    </row>
    <row r="65" ht="33" spans="1:7">
      <c r="A65" s="41"/>
      <c r="B65" s="41" t="s">
        <v>91</v>
      </c>
      <c r="C65" s="56">
        <f t="shared" ref="C65:G65" si="24">C63*1.25</f>
        <v>0.421430064847942</v>
      </c>
      <c r="D65" s="56">
        <f t="shared" si="24"/>
        <v>0.415972222222222</v>
      </c>
      <c r="E65" s="56">
        <f t="shared" si="24"/>
        <v>0.27628125</v>
      </c>
      <c r="F65" s="56">
        <f t="shared" si="24"/>
        <v>0.548427855101609</v>
      </c>
      <c r="G65" s="56"/>
    </row>
    <row r="66" s="49" customFormat="1" ht="45" spans="1:8">
      <c r="A66" s="48" t="s">
        <v>92</v>
      </c>
      <c r="B66" s="51" t="s">
        <v>93</v>
      </c>
      <c r="C66" s="57">
        <f t="shared" ref="C66:G66" si="25">C13</f>
        <v>308</v>
      </c>
      <c r="D66" s="57">
        <f t="shared" si="25"/>
        <v>110</v>
      </c>
      <c r="E66" s="57">
        <f t="shared" si="25"/>
        <v>110</v>
      </c>
      <c r="F66" s="57">
        <f t="shared" si="25"/>
        <v>308</v>
      </c>
      <c r="G66" s="57"/>
      <c r="H66" s="58"/>
    </row>
    <row r="67" ht="33" spans="1:8">
      <c r="A67" s="41"/>
      <c r="B67" s="41" t="s">
        <v>94</v>
      </c>
      <c r="C67" s="59">
        <f t="shared" ref="C67:G67" si="26">C66</f>
        <v>308</v>
      </c>
      <c r="D67" s="59">
        <f t="shared" si="26"/>
        <v>110</v>
      </c>
      <c r="E67" s="59">
        <f t="shared" si="26"/>
        <v>110</v>
      </c>
      <c r="F67" s="59">
        <f t="shared" si="26"/>
        <v>308</v>
      </c>
      <c r="G67" s="59"/>
      <c r="H67" s="60"/>
    </row>
    <row r="68" ht="33" spans="1:8">
      <c r="A68" s="41"/>
      <c r="B68" s="41" t="s">
        <v>95</v>
      </c>
      <c r="C68" s="61">
        <v>0.3</v>
      </c>
      <c r="D68" s="61">
        <v>0.31</v>
      </c>
      <c r="E68" s="61">
        <v>0.35</v>
      </c>
      <c r="F68" s="61">
        <v>0.31</v>
      </c>
      <c r="G68" s="61"/>
      <c r="H68" s="60"/>
    </row>
    <row r="69" ht="33" spans="1:8">
      <c r="A69" s="41"/>
      <c r="B69" s="41" t="s">
        <v>96</v>
      </c>
      <c r="C69" s="62">
        <v>180</v>
      </c>
      <c r="D69" s="62">
        <v>180</v>
      </c>
      <c r="E69" s="62">
        <v>180</v>
      </c>
      <c r="F69" s="62">
        <v>180</v>
      </c>
      <c r="G69" s="62"/>
      <c r="H69" s="60"/>
    </row>
    <row r="70" ht="33" spans="1:8">
      <c r="A70" s="41"/>
      <c r="B70" s="41" t="s">
        <v>97</v>
      </c>
      <c r="C70" s="63">
        <f>'枪械实际规格（日系）'!B5</f>
        <v>28740.1</v>
      </c>
      <c r="D70" s="63">
        <f>'枪械实际规格（日系）'!C5</f>
        <v>13188.95</v>
      </c>
      <c r="E70" s="63">
        <f>'枪械实际规格（日系）'!D5</f>
        <v>12007.85</v>
      </c>
      <c r="F70" s="63">
        <f>'枪械实际规格（日系）'!E5</f>
        <v>28740.1</v>
      </c>
      <c r="G70" s="63"/>
      <c r="H70" s="60"/>
    </row>
    <row r="71" ht="16.5" spans="2:8">
      <c r="B71" s="41" t="s">
        <v>98</v>
      </c>
      <c r="C71" s="62" t="s">
        <v>24</v>
      </c>
      <c r="D71" s="62" t="s">
        <v>24</v>
      </c>
      <c r="E71" s="62" t="s">
        <v>24</v>
      </c>
      <c r="F71" s="62" t="s">
        <v>24</v>
      </c>
      <c r="G71" s="62"/>
      <c r="H71" s="60"/>
    </row>
    <row r="72" s="49" customFormat="1" ht="33" spans="2:8">
      <c r="B72" s="51" t="s">
        <v>99</v>
      </c>
      <c r="C72" s="64">
        <v>1</v>
      </c>
      <c r="D72" s="64">
        <v>1</v>
      </c>
      <c r="E72" s="64">
        <v>1</v>
      </c>
      <c r="F72" s="64">
        <v>1</v>
      </c>
      <c r="G72" s="64"/>
      <c r="H72" s="58"/>
    </row>
    <row r="73" ht="33" spans="2:8">
      <c r="B73" s="41" t="s">
        <v>100</v>
      </c>
      <c r="C73" s="61">
        <v>1</v>
      </c>
      <c r="D73" s="61">
        <v>3</v>
      </c>
      <c r="E73" s="61">
        <v>3</v>
      </c>
      <c r="F73" s="61">
        <v>1</v>
      </c>
      <c r="G73" s="61"/>
      <c r="H73" s="60"/>
    </row>
    <row r="74" ht="33" spans="2:8">
      <c r="B74" s="41" t="s">
        <v>101</v>
      </c>
      <c r="C74" s="65">
        <f>100*39.37</f>
        <v>3937</v>
      </c>
      <c r="D74" s="65">
        <f>20*39.37</f>
        <v>787.4</v>
      </c>
      <c r="E74" s="65">
        <f>10*39.37</f>
        <v>393.7</v>
      </c>
      <c r="F74" s="65">
        <f>150*39.37</f>
        <v>5905.5</v>
      </c>
      <c r="G74" s="65"/>
      <c r="H74" s="60"/>
    </row>
    <row r="75" ht="33" spans="2:8">
      <c r="B75" s="41" t="s">
        <v>102</v>
      </c>
      <c r="C75" s="61">
        <v>2</v>
      </c>
      <c r="D75" s="61">
        <v>2</v>
      </c>
      <c r="E75" s="61">
        <v>2</v>
      </c>
      <c r="F75" s="61">
        <v>2</v>
      </c>
      <c r="G75" s="61"/>
      <c r="H75" s="60"/>
    </row>
    <row r="76" ht="33" spans="2:8">
      <c r="B76" s="41" t="s">
        <v>103</v>
      </c>
      <c r="C76" s="61">
        <v>-192</v>
      </c>
      <c r="D76" s="61">
        <v>-192</v>
      </c>
      <c r="E76" s="61">
        <v>-192</v>
      </c>
      <c r="F76" s="61">
        <v>-192</v>
      </c>
      <c r="G76" s="61"/>
      <c r="H76" s="60"/>
    </row>
    <row r="77" spans="3:8">
      <c r="C77" s="60"/>
      <c r="D77" s="60"/>
      <c r="E77" s="60"/>
      <c r="F77" s="60"/>
      <c r="G77" s="60"/>
      <c r="H77" s="60"/>
    </row>
  </sheetData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94"/>
  <sheetViews>
    <sheetView zoomScale="45" zoomScaleNormal="45" topLeftCell="R1" workbookViewId="0">
      <pane ySplit="2" topLeftCell="A68" activePane="bottomLeft" state="frozen"/>
      <selection/>
      <selection pane="bottomLeft" activeCell="B83" sqref="B83:E83"/>
    </sheetView>
  </sheetViews>
  <sheetFormatPr defaultColWidth="9" defaultRowHeight="16.5"/>
  <cols>
    <col min="1" max="1" width="25.625" style="40" customWidth="1"/>
    <col min="2" max="5" width="25.625" style="41" customWidth="1"/>
    <col min="6" max="6" width="25.625" style="40" customWidth="1"/>
    <col min="7" max="10" width="25.625" style="41" customWidth="1"/>
    <col min="11" max="11" width="25.625" style="40" customWidth="1"/>
    <col min="12" max="15" width="25.625" style="41" customWidth="1"/>
    <col min="16" max="16" width="25.625" style="40" customWidth="1"/>
    <col min="17" max="18" width="25.625" style="41" customWidth="1"/>
    <col min="19" max="19" width="25.625" style="40" customWidth="1"/>
    <col min="20" max="21" width="25.625" style="41" customWidth="1"/>
    <col min="22" max="22" width="25.625" style="40" customWidth="1"/>
    <col min="23" max="26" width="25.625" style="41" customWidth="1"/>
    <col min="27" max="27" width="25.625" style="40" customWidth="1"/>
    <col min="28" max="30" width="25.625" style="41" customWidth="1"/>
    <col min="31" max="31" width="25.625" style="40" customWidth="1"/>
    <col min="32" max="35" width="25.625" style="41" customWidth="1"/>
    <col min="36" max="36" width="25.625" style="40" customWidth="1"/>
    <col min="37" max="44" width="25.625" style="41" customWidth="1"/>
    <col min="45" max="54" width="15.625" style="41" customWidth="1"/>
    <col min="55" max="16384" width="9" style="41"/>
  </cols>
  <sheetData>
    <row r="1" ht="15" customHeight="1" spans="2:39">
      <c r="B1" s="41" t="s">
        <v>130</v>
      </c>
      <c r="C1" s="41" t="s">
        <v>131</v>
      </c>
      <c r="D1" s="41" t="s">
        <v>132</v>
      </c>
      <c r="E1" s="41" t="s">
        <v>133</v>
      </c>
      <c r="G1" s="41" t="s">
        <v>130</v>
      </c>
      <c r="H1" s="41" t="s">
        <v>131</v>
      </c>
      <c r="I1" s="41" t="s">
        <v>132</v>
      </c>
      <c r="J1" s="41" t="s">
        <v>133</v>
      </c>
      <c r="L1" s="41" t="s">
        <v>130</v>
      </c>
      <c r="M1" s="41" t="s">
        <v>131</v>
      </c>
      <c r="N1" s="41" t="s">
        <v>132</v>
      </c>
      <c r="O1" s="41" t="s">
        <v>133</v>
      </c>
      <c r="Q1" s="41" t="s">
        <v>130</v>
      </c>
      <c r="R1" s="41" t="s">
        <v>131</v>
      </c>
      <c r="T1" s="41" t="s">
        <v>130</v>
      </c>
      <c r="U1" s="41" t="s">
        <v>131</v>
      </c>
      <c r="W1" s="41" t="s">
        <v>130</v>
      </c>
      <c r="X1" s="41" t="s">
        <v>131</v>
      </c>
      <c r="Y1" s="41" t="s">
        <v>132</v>
      </c>
      <c r="Z1" s="41" t="s">
        <v>133</v>
      </c>
      <c r="AB1" s="41" t="s">
        <v>130</v>
      </c>
      <c r="AC1" s="41" t="s">
        <v>131</v>
      </c>
      <c r="AD1" s="41" t="s">
        <v>132</v>
      </c>
      <c r="AF1" s="41" t="s">
        <v>130</v>
      </c>
      <c r="AG1" s="41" t="s">
        <v>131</v>
      </c>
      <c r="AH1" s="41" t="s">
        <v>132</v>
      </c>
      <c r="AI1" s="41" t="s">
        <v>133</v>
      </c>
      <c r="AK1" s="41" t="s">
        <v>130</v>
      </c>
      <c r="AL1" s="41" t="s">
        <v>131</v>
      </c>
      <c r="AM1" s="41" t="s">
        <v>132</v>
      </c>
    </row>
    <row r="2" ht="50.1" customHeight="1" spans="1:40">
      <c r="A2" s="40" t="s">
        <v>134</v>
      </c>
      <c r="B2" s="40" t="str">
        <f>'新参数（美系）'!F1</f>
        <v>Springfield 
M1903</v>
      </c>
      <c r="C2" s="40" t="str">
        <f>'新参数（德系）'!C1</f>
        <v>Mauser 
Karabiner 98 kurz</v>
      </c>
      <c r="D2" s="40" t="str">
        <f>'新参数（苏系）'!C1</f>
        <v>Mosin–Nagant M1891/30</v>
      </c>
      <c r="E2" s="40" t="str">
        <f>'新参数（日系）'!C1</f>
        <v>Type 99 Arisaka</v>
      </c>
      <c r="F2" s="40" t="s">
        <v>135</v>
      </c>
      <c r="G2" s="40">
        <f>'新参数（美系）'!L1</f>
        <v>0</v>
      </c>
      <c r="H2" s="40">
        <f>'新参数（德系）'!K1</f>
        <v>0</v>
      </c>
      <c r="I2" s="40">
        <f>'新参数（苏系）'!I1</f>
        <v>0</v>
      </c>
      <c r="J2" s="40">
        <f>'新参数（日系）'!G1</f>
        <v>0</v>
      </c>
      <c r="K2" s="40" t="s">
        <v>136</v>
      </c>
      <c r="L2" s="40" t="str">
        <f>'新参数（美系）'!E1</f>
        <v>M1A1 
Thompson</v>
      </c>
      <c r="M2" s="40" t="str">
        <f>'新参数（德系）'!D1</f>
        <v>Maschinen
pistole
40</v>
      </c>
      <c r="N2" s="40" t="str">
        <f>'新参数（苏系）'!D1</f>
        <v>PPSh-41</v>
      </c>
      <c r="O2" s="40" t="str">
        <f>'新参数（日系）'!D1</f>
        <v>Type 100 smg</v>
      </c>
      <c r="P2" s="40" t="s">
        <v>137</v>
      </c>
      <c r="Q2" s="40" t="str">
        <f>'新参数（美系）'!C1</f>
        <v>M1 Carbine</v>
      </c>
      <c r="R2" s="40" t="str">
        <f>'新参数（德系）'!G1</f>
        <v>Sturm
gewehr
44</v>
      </c>
      <c r="S2" s="40" t="s">
        <v>138</v>
      </c>
      <c r="T2" s="40" t="str">
        <f>'新参数（美系）'!H1</f>
        <v>M1918A2 BAR</v>
      </c>
      <c r="U2" s="40" t="str">
        <f>'新参数（德系）'!I1</f>
        <v>Fallschirmjager
Gewehr 
42</v>
      </c>
      <c r="V2" s="40" t="s">
        <v>139</v>
      </c>
      <c r="W2" s="40" t="str">
        <f>'新参数（美系）'!I1</f>
        <v>M1919A4 
Browning</v>
      </c>
      <c r="X2" s="40" t="str">
        <f>'新参数（德系）'!F1</f>
        <v>Maschinen
gewehr
42</v>
      </c>
      <c r="Y2" s="40" t="str">
        <f>'新参数（苏系）'!F1</f>
        <v>Degtyaryov 
DP-28</v>
      </c>
      <c r="Z2" s="40" t="str">
        <f>'新参数（日系）'!F1</f>
        <v>Type 99 lmg</v>
      </c>
      <c r="AA2" s="40" t="s">
        <v>140</v>
      </c>
      <c r="AB2" s="40" t="str">
        <f>'新参数（美系）'!D1</f>
        <v>M1 Garand</v>
      </c>
      <c r="AC2" s="40" t="str">
        <f>'新参数（德系）'!H1</f>
        <v>Gewehr 43</v>
      </c>
      <c r="AD2" s="40" t="str">
        <f>'新参数（苏系）'!G1</f>
        <v>Tokarev
SVT-40</v>
      </c>
      <c r="AE2" s="40" t="s">
        <v>141</v>
      </c>
      <c r="AJ2" s="40" t="s">
        <v>142</v>
      </c>
      <c r="AK2"/>
      <c r="AL2"/>
      <c r="AM2"/>
      <c r="AN2"/>
    </row>
    <row r="3" ht="50.1" customHeight="1" spans="1:40">
      <c r="A3" s="40" t="str">
        <f>'新参数（美系）'!B2</f>
        <v>weaponType（弹类）</v>
      </c>
      <c r="B3" s="41" t="str">
        <f>'新参数（美系）'!F2</f>
        <v>bullet</v>
      </c>
      <c r="C3" s="41" t="str">
        <f>'新参数（德系）'!C2</f>
        <v>bullet</v>
      </c>
      <c r="D3" s="41" t="str">
        <f>'新参数（苏系）'!C2</f>
        <v>bullet</v>
      </c>
      <c r="E3" s="41" t="str">
        <f>'新参数（日系）'!C2</f>
        <v>bullet</v>
      </c>
      <c r="F3" s="40" t="s">
        <v>10</v>
      </c>
      <c r="G3" s="41">
        <f>'新参数（美系）'!L2</f>
        <v>0</v>
      </c>
      <c r="H3" s="41">
        <f>'新参数（德系）'!K2</f>
        <v>0</v>
      </c>
      <c r="I3" s="41">
        <f>'新参数（苏系）'!I2</f>
        <v>0</v>
      </c>
      <c r="J3" s="41">
        <f>'新参数（日系）'!G2</f>
        <v>0</v>
      </c>
      <c r="K3" s="40" t="str">
        <f>A3</f>
        <v>weaponType（弹类）</v>
      </c>
      <c r="L3" s="41" t="str">
        <f>'新参数（美系）'!E2</f>
        <v>bullet</v>
      </c>
      <c r="M3" s="41" t="str">
        <f>'新参数（德系）'!D2</f>
        <v>bullet</v>
      </c>
      <c r="N3" s="41" t="str">
        <f>'新参数（苏系）'!D2</f>
        <v>bullet</v>
      </c>
      <c r="O3" s="41" t="str">
        <f>'新参数（日系）'!D2</f>
        <v>bullet</v>
      </c>
      <c r="P3" s="40" t="s">
        <v>10</v>
      </c>
      <c r="Q3" s="41" t="str">
        <f>'新参数（美系）'!C2</f>
        <v>bullet</v>
      </c>
      <c r="R3" s="41" t="str">
        <f>'新参数（德系）'!G2</f>
        <v>bullet</v>
      </c>
      <c r="S3" s="40" t="str">
        <f t="shared" ref="S3:S66" si="0">K3</f>
        <v>weaponType（弹类）</v>
      </c>
      <c r="T3" s="41" t="str">
        <f>'新参数（美系）'!H2</f>
        <v>bullet</v>
      </c>
      <c r="U3" s="41" t="str">
        <f>'新参数（德系）'!I2</f>
        <v>bullet</v>
      </c>
      <c r="V3" s="40" t="s">
        <v>10</v>
      </c>
      <c r="W3" s="41" t="str">
        <f>'新参数（美系）'!I2</f>
        <v>bullet</v>
      </c>
      <c r="X3" s="41" t="str">
        <f>'新参数（德系）'!F2</f>
        <v>bullet</v>
      </c>
      <c r="Y3" s="41" t="str">
        <f>'新参数（苏系）'!F2</f>
        <v>bullet</v>
      </c>
      <c r="Z3" s="41" t="str">
        <f>'新参数（日系）'!F2</f>
        <v>bullet</v>
      </c>
      <c r="AA3" s="40" t="s">
        <v>10</v>
      </c>
      <c r="AB3" s="41" t="str">
        <f>'新参数（美系）'!D2</f>
        <v>bullet</v>
      </c>
      <c r="AC3" s="41" t="str">
        <f>'新参数（德系）'!H2</f>
        <v>bullet</v>
      </c>
      <c r="AD3" s="41" t="str">
        <f>'新参数（苏系）'!G2</f>
        <v>bullet</v>
      </c>
      <c r="AE3" s="40" t="s">
        <v>10</v>
      </c>
      <c r="AJ3" s="40" t="s">
        <v>10</v>
      </c>
      <c r="AK3"/>
      <c r="AL3"/>
      <c r="AM3"/>
      <c r="AN3"/>
    </row>
    <row r="4" ht="50.1" customHeight="1" spans="1:40">
      <c r="A4" s="40" t="str">
        <f>'新参数（美系）'!B3</f>
        <v>weaponClass（枪种）</v>
      </c>
      <c r="B4" s="41" t="str">
        <f>'新参数（美系）'!F3</f>
        <v>rifle</v>
      </c>
      <c r="C4" s="41" t="str">
        <f>'新参数（德系）'!C3</f>
        <v>rifle</v>
      </c>
      <c r="D4" s="41" t="str">
        <f>'新参数（苏系）'!C3</f>
        <v>rifle</v>
      </c>
      <c r="E4" s="41" t="str">
        <f>'新参数（日系）'!C3</f>
        <v>rifle</v>
      </c>
      <c r="F4" s="40" t="s">
        <v>12</v>
      </c>
      <c r="G4" s="41">
        <f>'新参数（美系）'!L3</f>
        <v>0</v>
      </c>
      <c r="H4" s="41">
        <f>'新参数（德系）'!K3</f>
        <v>0</v>
      </c>
      <c r="I4" s="41">
        <f>'新参数（苏系）'!I3</f>
        <v>0</v>
      </c>
      <c r="J4" s="41">
        <f>'新参数（日系）'!G3</f>
        <v>0</v>
      </c>
      <c r="K4" s="40" t="str">
        <f t="shared" ref="K4:K35" si="1">A4</f>
        <v>weaponClass（枪种）</v>
      </c>
      <c r="L4" s="41" t="str">
        <f>'新参数（美系）'!E3</f>
        <v>smg</v>
      </c>
      <c r="M4" s="41" t="str">
        <f>'新参数（德系）'!D3</f>
        <v>smg</v>
      </c>
      <c r="N4" s="41" t="str">
        <f>'新参数（苏系）'!D3</f>
        <v>smg</v>
      </c>
      <c r="O4" s="41" t="str">
        <f>'新参数（日系）'!D3</f>
        <v>smg</v>
      </c>
      <c r="P4" s="40" t="s">
        <v>12</v>
      </c>
      <c r="Q4" s="41" t="str">
        <f>'新参数（美系）'!C3</f>
        <v>smg</v>
      </c>
      <c r="R4" s="41" t="str">
        <f>'新参数（德系）'!G3</f>
        <v>rifle</v>
      </c>
      <c r="S4" s="40" t="str">
        <f t="shared" si="0"/>
        <v>weaponClass（枪种）</v>
      </c>
      <c r="T4" s="41" t="str">
        <f>'新参数（美系）'!H3</f>
        <v>rifle</v>
      </c>
      <c r="U4" s="41" t="str">
        <f>'新参数（德系）'!I3</f>
        <v>rifle</v>
      </c>
      <c r="V4" s="40" t="s">
        <v>12</v>
      </c>
      <c r="W4" s="41" t="str">
        <f>'新参数（美系）'!I3</f>
        <v>mg</v>
      </c>
      <c r="X4" s="41" t="str">
        <f>'新参数（德系）'!F3</f>
        <v>mg</v>
      </c>
      <c r="Y4" s="41" t="str">
        <f>'新参数（苏系）'!F3</f>
        <v>mg</v>
      </c>
      <c r="Z4" s="41" t="str">
        <f>'新参数（日系）'!F3</f>
        <v>mg</v>
      </c>
      <c r="AA4" s="40" t="s">
        <v>12</v>
      </c>
      <c r="AB4" s="41" t="str">
        <f>'新参数（美系）'!D3</f>
        <v>rifle</v>
      </c>
      <c r="AC4" s="41" t="str">
        <f>'新参数（德系）'!H3</f>
        <v>rifle</v>
      </c>
      <c r="AD4" s="41" t="str">
        <f>'新参数（苏系）'!G3</f>
        <v>rifle</v>
      </c>
      <c r="AE4" s="40" t="s">
        <v>12</v>
      </c>
      <c r="AJ4" s="40" t="s">
        <v>12</v>
      </c>
      <c r="AK4"/>
      <c r="AL4"/>
      <c r="AM4"/>
      <c r="AN4"/>
    </row>
    <row r="5" ht="50.1" customHeight="1" spans="1:40">
      <c r="A5" s="40" t="str">
        <f>'新参数（美系）'!B4</f>
        <v>penetrateType（穿深）</v>
      </c>
      <c r="B5" s="41" t="str">
        <f>'新参数（美系）'!F4</f>
        <v>medium</v>
      </c>
      <c r="C5" s="41" t="str">
        <f>'新参数（德系）'!C4</f>
        <v>medium</v>
      </c>
      <c r="D5" s="41" t="str">
        <f>'新参数（苏系）'!C4</f>
        <v>medium</v>
      </c>
      <c r="E5" s="41" t="str">
        <f>'新参数（日系）'!C4</f>
        <v>medium</v>
      </c>
      <c r="F5" s="40" t="s">
        <v>16</v>
      </c>
      <c r="G5" s="41">
        <f>'新参数（美系）'!L4</f>
        <v>0</v>
      </c>
      <c r="H5" s="41">
        <f>'新参数（德系）'!K4</f>
        <v>0</v>
      </c>
      <c r="I5" s="41">
        <f>'新参数（苏系）'!I4</f>
        <v>0</v>
      </c>
      <c r="J5" s="41">
        <f>'新参数（日系）'!G4</f>
        <v>0</v>
      </c>
      <c r="K5" s="40" t="str">
        <f t="shared" si="1"/>
        <v>penetrateType（穿深）</v>
      </c>
      <c r="L5" s="41" t="str">
        <f>'新参数（美系）'!E4</f>
        <v>small</v>
      </c>
      <c r="M5" s="41" t="str">
        <f>'新参数（德系）'!D4</f>
        <v>small</v>
      </c>
      <c r="N5" s="41" t="str">
        <f>'新参数（苏系）'!D4</f>
        <v>small</v>
      </c>
      <c r="O5" s="41" t="str">
        <f>'新参数（日系）'!D4</f>
        <v>small</v>
      </c>
      <c r="P5" s="40" t="s">
        <v>16</v>
      </c>
      <c r="Q5" s="41" t="str">
        <f>'新参数（美系）'!C4</f>
        <v>small</v>
      </c>
      <c r="R5" s="41" t="str">
        <f>'新参数（德系）'!G4</f>
        <v>medium</v>
      </c>
      <c r="S5" s="40" t="str">
        <f t="shared" si="0"/>
        <v>penetrateType（穿深）</v>
      </c>
      <c r="T5" s="41" t="str">
        <f>'新参数（美系）'!H4</f>
        <v>medium</v>
      </c>
      <c r="U5" s="41" t="str">
        <f>'新参数（德系）'!I4</f>
        <v>medium</v>
      </c>
      <c r="V5" s="40" t="s">
        <v>16</v>
      </c>
      <c r="W5" s="41" t="str">
        <f>'新参数（美系）'!I4</f>
        <v>medium</v>
      </c>
      <c r="X5" s="41" t="str">
        <f>'新参数（德系）'!F4</f>
        <v>medium</v>
      </c>
      <c r="Y5" s="41" t="str">
        <f>'新参数（苏系）'!F4</f>
        <v>medium</v>
      </c>
      <c r="Z5" s="41" t="str">
        <f>'新参数（日系）'!F4</f>
        <v>medium</v>
      </c>
      <c r="AA5" s="40" t="s">
        <v>16</v>
      </c>
      <c r="AB5" s="41" t="str">
        <f>'新参数（美系）'!D4</f>
        <v>medium</v>
      </c>
      <c r="AC5" s="41" t="str">
        <f>'新参数（德系）'!H4</f>
        <v>medium</v>
      </c>
      <c r="AD5" s="41" t="str">
        <f>'新参数（苏系）'!G4</f>
        <v>medium</v>
      </c>
      <c r="AE5" s="40" t="s">
        <v>16</v>
      </c>
      <c r="AJ5" s="40" t="s">
        <v>16</v>
      </c>
      <c r="AK5"/>
      <c r="AL5"/>
      <c r="AM5"/>
      <c r="AN5"/>
    </row>
    <row r="6" ht="50.1" customHeight="1" spans="1:40">
      <c r="A6" s="40" t="str">
        <f>'新参数（美系）'!B5</f>
        <v>impactType（爆炸特效）</v>
      </c>
      <c r="B6" s="41" t="str">
        <f>'新参数（美系）'!F5</f>
        <v>bullet_large</v>
      </c>
      <c r="C6" s="41" t="str">
        <f>'新参数（德系）'!C5</f>
        <v>bullet_large</v>
      </c>
      <c r="D6" s="41" t="str">
        <f>'新参数（苏系）'!C5</f>
        <v>bullet_large</v>
      </c>
      <c r="E6" s="41" t="str">
        <f>'新参数（日系）'!C5</f>
        <v>bullet_large</v>
      </c>
      <c r="F6" s="40" t="s">
        <v>19</v>
      </c>
      <c r="G6" s="41">
        <f>'新参数（美系）'!L5</f>
        <v>0</v>
      </c>
      <c r="H6" s="41">
        <f>'新参数（德系）'!K5</f>
        <v>0</v>
      </c>
      <c r="I6" s="41">
        <f>'新参数（苏系）'!I5</f>
        <v>0</v>
      </c>
      <c r="J6" s="41">
        <f>'新参数（日系）'!G5</f>
        <v>0</v>
      </c>
      <c r="K6" s="40" t="str">
        <f t="shared" si="1"/>
        <v>impactType（爆炸特效）</v>
      </c>
      <c r="L6" s="41" t="str">
        <f>'新参数（美系）'!E5</f>
        <v>bullet_small</v>
      </c>
      <c r="M6" s="41" t="str">
        <f>'新参数（德系）'!D5</f>
        <v>bullet_small</v>
      </c>
      <c r="N6" s="41" t="str">
        <f>'新参数（苏系）'!D5</f>
        <v>bullet_small</v>
      </c>
      <c r="O6" s="41" t="str">
        <f>'新参数（日系）'!D5</f>
        <v>bullet_small</v>
      </c>
      <c r="P6" s="40" t="s">
        <v>19</v>
      </c>
      <c r="Q6" s="41" t="str">
        <f>'新参数（美系）'!C5</f>
        <v>bullet_small</v>
      </c>
      <c r="R6" s="41" t="str">
        <f>'新参数（德系）'!G5</f>
        <v>bullet_large</v>
      </c>
      <c r="S6" s="40" t="str">
        <f t="shared" si="0"/>
        <v>impactType（爆炸特效）</v>
      </c>
      <c r="T6" s="41" t="str">
        <f>'新参数（美系）'!H5</f>
        <v>bullet_large</v>
      </c>
      <c r="U6" s="41" t="str">
        <f>'新参数（德系）'!I5</f>
        <v>bullet_large</v>
      </c>
      <c r="V6" s="40" t="s">
        <v>19</v>
      </c>
      <c r="W6" s="41" t="str">
        <f>'新参数（美系）'!I5</f>
        <v>bullet_large</v>
      </c>
      <c r="X6" s="41" t="str">
        <f>'新参数（德系）'!F5</f>
        <v>bullet_large</v>
      </c>
      <c r="Y6" s="41" t="str">
        <f>'新参数（苏系）'!F5</f>
        <v>bullet_large</v>
      </c>
      <c r="Z6" s="41" t="str">
        <f>'新参数（日系）'!F5</f>
        <v>bullet_large</v>
      </c>
      <c r="AA6" s="40" t="s">
        <v>19</v>
      </c>
      <c r="AB6" s="41" t="str">
        <f>'新参数（美系）'!D5</f>
        <v>bullet_large</v>
      </c>
      <c r="AC6" s="41" t="str">
        <f>'新参数（德系）'!H5</f>
        <v>bullet_large</v>
      </c>
      <c r="AD6" s="41" t="str">
        <f>'新参数（苏系）'!G5</f>
        <v>bullet_large</v>
      </c>
      <c r="AE6" s="40" t="s">
        <v>19</v>
      </c>
      <c r="AJ6" s="40" t="s">
        <v>19</v>
      </c>
      <c r="AK6"/>
      <c r="AL6"/>
      <c r="AM6"/>
      <c r="AN6"/>
    </row>
    <row r="7" ht="50.1" customHeight="1" spans="1:40">
      <c r="A7" s="40" t="str">
        <f>'新参数（美系）'!B6</f>
        <v>rifleBullet
（步枪类弹药）</v>
      </c>
      <c r="B7" s="41" t="str">
        <f>'新参数（美系）'!F6</f>
        <v>√</v>
      </c>
      <c r="C7" s="41" t="str">
        <f>'新参数（德系）'!C6</f>
        <v>√</v>
      </c>
      <c r="D7" s="41" t="str">
        <f>'新参数（苏系）'!C6</f>
        <v>√</v>
      </c>
      <c r="E7" s="41" t="str">
        <f>'新参数（日系）'!C6</f>
        <v>√</v>
      </c>
      <c r="F7" s="40" t="s">
        <v>22</v>
      </c>
      <c r="G7" s="41">
        <f>'新参数（美系）'!L6</f>
        <v>0</v>
      </c>
      <c r="H7" s="41">
        <f>'新参数（德系）'!K6</f>
        <v>0</v>
      </c>
      <c r="I7" s="41">
        <f>'新参数（苏系）'!I6</f>
        <v>0</v>
      </c>
      <c r="J7" s="41">
        <f>'新参数（日系）'!G6</f>
        <v>0</v>
      </c>
      <c r="K7" s="40" t="str">
        <f t="shared" si="1"/>
        <v>rifleBullet
（步枪类弹药）</v>
      </c>
      <c r="L7" s="41" t="str">
        <f>'新参数（美系）'!E6</f>
        <v>×</v>
      </c>
      <c r="M7" s="41" t="str">
        <f>'新参数（德系）'!D6</f>
        <v>×</v>
      </c>
      <c r="N7" s="41" t="str">
        <f>'新参数（苏系）'!D6</f>
        <v>×</v>
      </c>
      <c r="O7" s="41" t="str">
        <f>'新参数（日系）'!D6</f>
        <v>×</v>
      </c>
      <c r="P7" s="40" t="s">
        <v>22</v>
      </c>
      <c r="Q7" s="41" t="str">
        <f>'新参数（美系）'!C6</f>
        <v>×</v>
      </c>
      <c r="R7" s="41" t="str">
        <f>'新参数（德系）'!G6</f>
        <v>√</v>
      </c>
      <c r="S7" s="40" t="str">
        <f t="shared" si="0"/>
        <v>rifleBullet
（步枪类弹药）</v>
      </c>
      <c r="T7" s="41" t="str">
        <f>'新参数（美系）'!H6</f>
        <v>√</v>
      </c>
      <c r="U7" s="41" t="str">
        <f>'新参数（德系）'!I6</f>
        <v>√</v>
      </c>
      <c r="V7" s="40" t="s">
        <v>22</v>
      </c>
      <c r="W7" s="41" t="str">
        <f>'新参数（美系）'!I6</f>
        <v>√</v>
      </c>
      <c r="X7" s="41" t="str">
        <f>'新参数（德系）'!F6</f>
        <v>√</v>
      </c>
      <c r="Y7" s="41" t="str">
        <f>'新参数（苏系）'!F6</f>
        <v>√</v>
      </c>
      <c r="Z7" s="41" t="str">
        <f>'新参数（日系）'!F6</f>
        <v>√</v>
      </c>
      <c r="AA7" s="40" t="s">
        <v>22</v>
      </c>
      <c r="AB7" s="41" t="str">
        <f>'新参数（美系）'!D6</f>
        <v>√</v>
      </c>
      <c r="AC7" s="41" t="str">
        <f>'新参数（德系）'!H6</f>
        <v>√</v>
      </c>
      <c r="AD7" s="41" t="str">
        <f>'新参数（苏系）'!G6</f>
        <v>√</v>
      </c>
      <c r="AE7" s="40" t="s">
        <v>22</v>
      </c>
      <c r="AJ7" s="40" t="s">
        <v>22</v>
      </c>
      <c r="AK7"/>
      <c r="AL7"/>
      <c r="AM7"/>
      <c r="AN7"/>
    </row>
    <row r="8" ht="50.1" customHeight="1" spans="1:40">
      <c r="A8" s="40" t="str">
        <f>'新参数（美系）'!B7</f>
        <v>noADSAutoReload
（瞄准时不自动重装弹）</v>
      </c>
      <c r="B8" s="41" t="str">
        <f>'新参数（美系）'!F7</f>
        <v>×</v>
      </c>
      <c r="C8" s="41" t="str">
        <f>'新参数（德系）'!C7</f>
        <v>×</v>
      </c>
      <c r="D8" s="41" t="str">
        <f>'新参数（苏系）'!C7</f>
        <v>×</v>
      </c>
      <c r="E8" s="41" t="str">
        <f>'新参数（日系）'!C7</f>
        <v>×</v>
      </c>
      <c r="F8" s="40" t="s">
        <v>25</v>
      </c>
      <c r="G8" s="41">
        <f>'新参数（美系）'!L7</f>
        <v>0</v>
      </c>
      <c r="H8" s="41">
        <f>'新参数（德系）'!K7</f>
        <v>0</v>
      </c>
      <c r="I8" s="41">
        <f>'新参数（苏系）'!I7</f>
        <v>0</v>
      </c>
      <c r="J8" s="41">
        <f>'新参数（日系）'!G7</f>
        <v>0</v>
      </c>
      <c r="K8" s="40" t="str">
        <f t="shared" si="1"/>
        <v>noADSAutoReload
（瞄准时不自动重装弹）</v>
      </c>
      <c r="L8" s="41" t="str">
        <f>'新参数（美系）'!E7</f>
        <v>×</v>
      </c>
      <c r="M8" s="41" t="str">
        <f>'新参数（德系）'!D7</f>
        <v>×</v>
      </c>
      <c r="N8" s="41" t="str">
        <f>'新参数（苏系）'!D7</f>
        <v>×</v>
      </c>
      <c r="O8" s="41" t="str">
        <f>'新参数（日系）'!D7</f>
        <v>×</v>
      </c>
      <c r="P8" s="40" t="s">
        <v>25</v>
      </c>
      <c r="Q8" s="41" t="str">
        <f>'新参数（美系）'!C7</f>
        <v>×</v>
      </c>
      <c r="R8" s="41" t="str">
        <f>'新参数（德系）'!G7</f>
        <v>×</v>
      </c>
      <c r="S8" s="40" t="str">
        <f t="shared" si="0"/>
        <v>noADSAutoReload
（瞄准时不自动重装弹）</v>
      </c>
      <c r="T8" s="41" t="str">
        <f>'新参数（美系）'!H7</f>
        <v>×</v>
      </c>
      <c r="U8" s="41" t="str">
        <f>'新参数（德系）'!I7</f>
        <v>×</v>
      </c>
      <c r="V8" s="40" t="s">
        <v>25</v>
      </c>
      <c r="W8" s="41" t="str">
        <f>'新参数（美系）'!I7</f>
        <v>×</v>
      </c>
      <c r="X8" s="41" t="str">
        <f>'新参数（德系）'!F7</f>
        <v>×</v>
      </c>
      <c r="Y8" s="41" t="str">
        <f>'新参数（苏系）'!F7</f>
        <v>×</v>
      </c>
      <c r="Z8" s="41" t="str">
        <f>'新参数（日系）'!F7</f>
        <v>×</v>
      </c>
      <c r="AA8" s="40" t="s">
        <v>25</v>
      </c>
      <c r="AB8" s="41" t="str">
        <f>'新参数（美系）'!D7</f>
        <v>×</v>
      </c>
      <c r="AC8" s="41" t="str">
        <f>'新参数（德系）'!H7</f>
        <v>×</v>
      </c>
      <c r="AD8" s="41" t="str">
        <f>'新参数（苏系）'!G7</f>
        <v>×</v>
      </c>
      <c r="AE8" s="40" t="s">
        <v>25</v>
      </c>
      <c r="AJ8" s="40" t="s">
        <v>25</v>
      </c>
      <c r="AK8"/>
      <c r="AL8"/>
      <c r="AM8"/>
      <c r="AN8"/>
    </row>
    <row r="9" ht="50.1" customHeight="1" spans="1:40">
      <c r="A9" s="40" t="str">
        <f>'新参数（美系）'!B8</f>
        <v>noPartialReload
（非打光枪中弹药不能装弹）</v>
      </c>
      <c r="B9" s="41" t="str">
        <f>'新参数（美系）'!F8</f>
        <v>×</v>
      </c>
      <c r="C9" s="41" t="str">
        <f>'新参数（德系）'!C8</f>
        <v>×</v>
      </c>
      <c r="D9" s="41" t="str">
        <f>'新参数（苏系）'!C8</f>
        <v>×</v>
      </c>
      <c r="E9" s="41" t="str">
        <f>'新参数（日系）'!C8</f>
        <v>×</v>
      </c>
      <c r="F9" s="40" t="s">
        <v>26</v>
      </c>
      <c r="G9" s="41">
        <f>'新参数（美系）'!L8</f>
        <v>0</v>
      </c>
      <c r="H9" s="41">
        <f>'新参数（德系）'!K8</f>
        <v>0</v>
      </c>
      <c r="I9" s="41">
        <f>'新参数（苏系）'!I8</f>
        <v>0</v>
      </c>
      <c r="J9" s="41">
        <f>'新参数（日系）'!G8</f>
        <v>0</v>
      </c>
      <c r="K9" s="40" t="str">
        <f t="shared" si="1"/>
        <v>noPartialReload
（非打光枪中弹药不能装弹）</v>
      </c>
      <c r="L9" s="41" t="str">
        <f>'新参数（美系）'!E8</f>
        <v>×</v>
      </c>
      <c r="M9" s="41" t="str">
        <f>'新参数（德系）'!D8</f>
        <v>×</v>
      </c>
      <c r="N9" s="41" t="str">
        <f>'新参数（苏系）'!D8</f>
        <v>×</v>
      </c>
      <c r="O9" s="41" t="str">
        <f>'新参数（日系）'!D8</f>
        <v>×</v>
      </c>
      <c r="P9" s="40" t="s">
        <v>26</v>
      </c>
      <c r="Q9" s="41" t="str">
        <f>'新参数（美系）'!C8</f>
        <v>×</v>
      </c>
      <c r="R9" s="41" t="str">
        <f>'新参数（德系）'!G8</f>
        <v>×</v>
      </c>
      <c r="S9" s="40" t="str">
        <f t="shared" si="0"/>
        <v>noPartialReload
（非打光枪中弹药不能装弹）</v>
      </c>
      <c r="T9" s="41" t="str">
        <f>'新参数（美系）'!H8</f>
        <v>×</v>
      </c>
      <c r="U9" s="41" t="str">
        <f>'新参数（德系）'!I8</f>
        <v>×</v>
      </c>
      <c r="V9" s="40" t="s">
        <v>26</v>
      </c>
      <c r="W9" s="41" t="str">
        <f>'新参数（美系）'!I8</f>
        <v>×</v>
      </c>
      <c r="X9" s="41" t="str">
        <f>'新参数（德系）'!F8</f>
        <v>×</v>
      </c>
      <c r="Y9" s="41" t="str">
        <f>'新参数（苏系）'!F8</f>
        <v>×</v>
      </c>
      <c r="Z9" s="41" t="str">
        <f>'新参数（日系）'!F8</f>
        <v>×</v>
      </c>
      <c r="AA9" s="40" t="s">
        <v>26</v>
      </c>
      <c r="AB9" s="41" t="str">
        <f>'新参数（美系）'!D8</f>
        <v>√</v>
      </c>
      <c r="AC9" s="41" t="str">
        <f>'新参数（德系）'!H8</f>
        <v>×</v>
      </c>
      <c r="AD9" s="41" t="str">
        <f>'新参数（苏系）'!G8</f>
        <v>×</v>
      </c>
      <c r="AE9" s="40" t="s">
        <v>26</v>
      </c>
      <c r="AJ9" s="40" t="s">
        <v>26</v>
      </c>
      <c r="AK9"/>
      <c r="AL9"/>
      <c r="AM9"/>
      <c r="AN9"/>
    </row>
    <row r="10" ht="50.1" customHeight="1" spans="1:40">
      <c r="A10" s="40" t="str">
        <f>'新参数（美系）'!B9</f>
        <v>segmentedReload
（能够往弹仓中补弹）</v>
      </c>
      <c r="B10" s="41" t="str">
        <f>'新参数（美系）'!F9</f>
        <v>×</v>
      </c>
      <c r="C10" s="41" t="str">
        <f>'新参数（德系）'!C9</f>
        <v>×</v>
      </c>
      <c r="D10" s="41" t="str">
        <f>'新参数（苏系）'!C9</f>
        <v>×</v>
      </c>
      <c r="E10" s="41" t="str">
        <f>'新参数（日系）'!C9</f>
        <v>×</v>
      </c>
      <c r="F10" s="40" t="s">
        <v>27</v>
      </c>
      <c r="G10" s="41">
        <f>'新参数（美系）'!L9</f>
        <v>0</v>
      </c>
      <c r="H10" s="41">
        <f>'新参数（德系）'!K9</f>
        <v>0</v>
      </c>
      <c r="I10" s="41">
        <f>'新参数（苏系）'!I9</f>
        <v>0</v>
      </c>
      <c r="J10" s="41">
        <f>'新参数（日系）'!G9</f>
        <v>0</v>
      </c>
      <c r="K10" s="40" t="str">
        <f t="shared" si="1"/>
        <v>segmentedReload
（能够往弹仓中补弹）</v>
      </c>
      <c r="L10" s="41" t="str">
        <f>'新参数（美系）'!E9</f>
        <v>×</v>
      </c>
      <c r="M10" s="41" t="str">
        <f>'新参数（德系）'!D9</f>
        <v>×</v>
      </c>
      <c r="N10" s="41" t="str">
        <f>'新参数（苏系）'!D9</f>
        <v>×</v>
      </c>
      <c r="O10" s="41" t="str">
        <f>'新参数（日系）'!D9</f>
        <v>×</v>
      </c>
      <c r="P10" s="40" t="s">
        <v>27</v>
      </c>
      <c r="Q10" s="41" t="str">
        <f>'新参数（美系）'!C9</f>
        <v>×</v>
      </c>
      <c r="R10" s="41" t="str">
        <f>'新参数（德系）'!G9</f>
        <v>×</v>
      </c>
      <c r="S10" s="40" t="str">
        <f t="shared" si="0"/>
        <v>segmentedReload
（能够往弹仓中补弹）</v>
      </c>
      <c r="T10" s="41" t="str">
        <f>'新参数（美系）'!H9</f>
        <v>×</v>
      </c>
      <c r="U10" s="41" t="str">
        <f>'新参数（德系）'!I9</f>
        <v>×</v>
      </c>
      <c r="V10" s="40" t="s">
        <v>27</v>
      </c>
      <c r="W10" s="41" t="str">
        <f>'新参数（美系）'!I9</f>
        <v>×</v>
      </c>
      <c r="X10" s="41" t="str">
        <f>'新参数（德系）'!F9</f>
        <v>×</v>
      </c>
      <c r="Y10" s="41" t="str">
        <f>'新参数（苏系）'!F9</f>
        <v>×</v>
      </c>
      <c r="Z10" s="41" t="str">
        <f>'新参数（日系）'!F9</f>
        <v>×</v>
      </c>
      <c r="AA10" s="40" t="s">
        <v>27</v>
      </c>
      <c r="AB10" s="41" t="str">
        <f>'新参数（美系）'!D9</f>
        <v>×</v>
      </c>
      <c r="AC10" s="41" t="str">
        <f>'新参数（德系）'!H9</f>
        <v>×</v>
      </c>
      <c r="AD10" s="41" t="str">
        <f>'新参数（苏系）'!G9</f>
        <v>×</v>
      </c>
      <c r="AE10" s="40" t="s">
        <v>27</v>
      </c>
      <c r="AJ10" s="40" t="s">
        <v>27</v>
      </c>
      <c r="AK10"/>
      <c r="AL10"/>
      <c r="AM10"/>
      <c r="AN10"/>
    </row>
    <row r="11" ht="50.1" customHeight="1" spans="1:40">
      <c r="A11" s="40" t="str">
        <f>'新参数（美系）'!B10</f>
        <v>aimDownSight（能够瞄准射击）</v>
      </c>
      <c r="B11" s="41" t="str">
        <f>'新参数（美系）'!F10</f>
        <v>√</v>
      </c>
      <c r="C11" s="41" t="str">
        <f>'新参数（德系）'!C10</f>
        <v>√</v>
      </c>
      <c r="D11" s="41" t="str">
        <f>'新参数（苏系）'!C10</f>
        <v>√</v>
      </c>
      <c r="E11" s="41" t="str">
        <f>'新参数（日系）'!C10</f>
        <v>√</v>
      </c>
      <c r="F11" s="40" t="s">
        <v>28</v>
      </c>
      <c r="G11" s="41">
        <f>'新参数（美系）'!L10</f>
        <v>0</v>
      </c>
      <c r="H11" s="41">
        <f>'新参数（德系）'!K10</f>
        <v>0</v>
      </c>
      <c r="I11" s="41">
        <f>'新参数（苏系）'!I10</f>
        <v>0</v>
      </c>
      <c r="J11" s="41">
        <f>'新参数（日系）'!G10</f>
        <v>0</v>
      </c>
      <c r="K11" s="40" t="str">
        <f t="shared" si="1"/>
        <v>aimDownSight（能够瞄准射击）</v>
      </c>
      <c r="L11" s="41" t="str">
        <f>'新参数（美系）'!E10</f>
        <v>√</v>
      </c>
      <c r="M11" s="41" t="str">
        <f>'新参数（德系）'!D10</f>
        <v>√</v>
      </c>
      <c r="N11" s="41" t="str">
        <f>'新参数（苏系）'!D10</f>
        <v>√</v>
      </c>
      <c r="O11" s="41" t="str">
        <f>'新参数（日系）'!D10</f>
        <v>√</v>
      </c>
      <c r="P11" s="40" t="s">
        <v>28</v>
      </c>
      <c r="Q11" s="41" t="str">
        <f>'新参数（美系）'!C10</f>
        <v>√</v>
      </c>
      <c r="R11" s="41" t="str">
        <f>'新参数（德系）'!G10</f>
        <v>√</v>
      </c>
      <c r="S11" s="40" t="str">
        <f t="shared" si="0"/>
        <v>aimDownSight（能够瞄准射击）</v>
      </c>
      <c r="T11" s="41" t="str">
        <f>'新参数（美系）'!H10</f>
        <v>√</v>
      </c>
      <c r="U11" s="41" t="str">
        <f>'新参数（德系）'!I10</f>
        <v>√</v>
      </c>
      <c r="V11" s="40" t="s">
        <v>28</v>
      </c>
      <c r="W11" s="41" t="str">
        <f>'新参数（美系）'!I10</f>
        <v>√</v>
      </c>
      <c r="X11" s="41" t="str">
        <f>'新参数（德系）'!F10</f>
        <v>√</v>
      </c>
      <c r="Y11" s="41" t="str">
        <f>'新参数（苏系）'!F10</f>
        <v>√</v>
      </c>
      <c r="Z11" s="41" t="str">
        <f>'新参数（日系）'!F10</f>
        <v>√</v>
      </c>
      <c r="AA11" s="40" t="s">
        <v>28</v>
      </c>
      <c r="AB11" s="41" t="str">
        <f>'新参数（美系）'!D10</f>
        <v>√</v>
      </c>
      <c r="AC11" s="41" t="str">
        <f>'新参数（德系）'!H10</f>
        <v>√</v>
      </c>
      <c r="AD11" s="41" t="str">
        <f>'新参数（苏系）'!G10</f>
        <v>√</v>
      </c>
      <c r="AE11" s="40" t="s">
        <v>28</v>
      </c>
      <c r="AJ11" s="40" t="s">
        <v>28</v>
      </c>
      <c r="AK11"/>
      <c r="AL11"/>
      <c r="AM11"/>
      <c r="AN11"/>
    </row>
    <row r="12" ht="50.1" customHeight="1" spans="1:40">
      <c r="A12" s="40" t="str">
        <f>'新参数（美系）'!B11</f>
        <v>firetype（快慢机类型）</v>
      </c>
      <c r="B12" s="41" t="str">
        <f>'新参数（美系）'!F11</f>
        <v>Single Shot
（单发）</v>
      </c>
      <c r="C12" s="41" t="str">
        <f>'新参数（德系）'!C11</f>
        <v>Single Shot
（单发）</v>
      </c>
      <c r="D12" s="41" t="str">
        <f>'新参数（苏系）'!C11</f>
        <v>Single Shot
（单发）</v>
      </c>
      <c r="E12" s="41" t="str">
        <f>'新参数（日系）'!C11</f>
        <v>Single Shot
（单发）</v>
      </c>
      <c r="F12" s="40" t="s">
        <v>29</v>
      </c>
      <c r="G12" s="41">
        <f>'新参数（美系）'!L11</f>
        <v>0</v>
      </c>
      <c r="H12" s="41">
        <f>'新参数（德系）'!K11</f>
        <v>0</v>
      </c>
      <c r="I12" s="41">
        <f>'新参数（苏系）'!I11</f>
        <v>0</v>
      </c>
      <c r="J12" s="41">
        <f>'新参数（日系）'!G11</f>
        <v>0</v>
      </c>
      <c r="K12" s="40" t="str">
        <f t="shared" si="1"/>
        <v>firetype（快慢机类型）</v>
      </c>
      <c r="L12" s="41" t="str">
        <f>'新参数（美系）'!E11</f>
        <v>Full Auto
（全梓东）</v>
      </c>
      <c r="M12" s="41" t="str">
        <f>'新参数（德系）'!D11</f>
        <v>Full Auto
（全梓东）</v>
      </c>
      <c r="N12" s="41" t="str">
        <f>'新参数（苏系）'!D11</f>
        <v>Full Auto
（全梓东）</v>
      </c>
      <c r="O12" s="41" t="str">
        <f>'新参数（日系）'!D11</f>
        <v>Full Auto
（全梓东）</v>
      </c>
      <c r="P12" s="40" t="s">
        <v>29</v>
      </c>
      <c r="Q12" s="41" t="str">
        <f>'新参数（美系）'!C11</f>
        <v>Single Shot
（单发）</v>
      </c>
      <c r="R12" s="41" t="str">
        <f>'新参数（德系）'!G11</f>
        <v>Full Auto
（全梓东）</v>
      </c>
      <c r="S12" s="40" t="str">
        <f t="shared" si="0"/>
        <v>firetype（快慢机类型）</v>
      </c>
      <c r="T12" s="41" t="str">
        <f>'新参数（美系）'!H11</f>
        <v>Full Auto
（全梓东）</v>
      </c>
      <c r="U12" s="41" t="str">
        <f>'新参数（德系）'!I11</f>
        <v>Full Auto
（全梓东）</v>
      </c>
      <c r="V12" s="40" t="s">
        <v>29</v>
      </c>
      <c r="W12" s="41" t="str">
        <f>'新参数（美系）'!I11</f>
        <v>Full Auto
（全梓东）</v>
      </c>
      <c r="X12" s="41" t="str">
        <f>'新参数（德系）'!F11</f>
        <v>Full Auto
（全梓东）</v>
      </c>
      <c r="Y12" s="41" t="str">
        <f>'新参数（苏系）'!F11</f>
        <v>Full Auto
（全梓东）</v>
      </c>
      <c r="Z12" s="41" t="str">
        <f>'新参数（日系）'!F11</f>
        <v>Full Auto
（全梓东）</v>
      </c>
      <c r="AA12" s="40" t="s">
        <v>29</v>
      </c>
      <c r="AB12" s="41" t="str">
        <f>'新参数（美系）'!D11</f>
        <v>Single Shot
（单发）</v>
      </c>
      <c r="AC12" s="41" t="str">
        <f>'新参数（德系）'!H11</f>
        <v>Single Shot
（单发）</v>
      </c>
      <c r="AD12" s="41" t="str">
        <f>'新参数（苏系）'!G11</f>
        <v>Single Shot
（单发）</v>
      </c>
      <c r="AE12" s="40" t="s">
        <v>29</v>
      </c>
      <c r="AJ12" s="40" t="s">
        <v>29</v>
      </c>
      <c r="AK12"/>
      <c r="AL12"/>
      <c r="AM12"/>
      <c r="AN12"/>
    </row>
    <row r="13" ht="50.1" customHeight="1" spans="1:40">
      <c r="A13" s="40" t="str">
        <f>'新参数（美系）'!B12</f>
        <v>enhanced（属于加强类武器）</v>
      </c>
      <c r="B13" s="41" t="str">
        <f>'新参数（美系）'!F12</f>
        <v>×</v>
      </c>
      <c r="C13" s="41" t="str">
        <f>'新参数（德系）'!C12</f>
        <v>×</v>
      </c>
      <c r="D13" s="41" t="str">
        <f>'新参数（苏系）'!C12</f>
        <v>×</v>
      </c>
      <c r="E13" s="41" t="str">
        <f>'新参数（日系）'!C12</f>
        <v>×</v>
      </c>
      <c r="F13" s="40" t="s">
        <v>32</v>
      </c>
      <c r="G13" s="41">
        <f>'新参数（美系）'!L12</f>
        <v>0</v>
      </c>
      <c r="H13" s="41">
        <f>'新参数（德系）'!K12</f>
        <v>0</v>
      </c>
      <c r="I13" s="41">
        <f>'新参数（苏系）'!I12</f>
        <v>0</v>
      </c>
      <c r="J13" s="41">
        <f>'新参数（日系）'!G12</f>
        <v>0</v>
      </c>
      <c r="K13" s="40" t="str">
        <f t="shared" si="1"/>
        <v>enhanced（属于加强类武器）</v>
      </c>
      <c r="L13" s="41" t="str">
        <f>'新参数（美系）'!E12</f>
        <v>×</v>
      </c>
      <c r="M13" s="41" t="str">
        <f>'新参数（德系）'!D12</f>
        <v>×</v>
      </c>
      <c r="N13" s="41" t="str">
        <f>'新参数（苏系）'!D12</f>
        <v>×</v>
      </c>
      <c r="O13" s="41" t="str">
        <f>'新参数（日系）'!D12</f>
        <v>×</v>
      </c>
      <c r="P13" s="40" t="s">
        <v>32</v>
      </c>
      <c r="Q13" s="41" t="str">
        <f>'新参数（美系）'!C12</f>
        <v>×</v>
      </c>
      <c r="R13" s="41" t="str">
        <f>'新参数（德系）'!G12</f>
        <v>×</v>
      </c>
      <c r="S13" s="40" t="str">
        <f t="shared" si="0"/>
        <v>enhanced（属于加强类武器）</v>
      </c>
      <c r="T13" s="41" t="str">
        <f>'新参数（美系）'!H12</f>
        <v>×</v>
      </c>
      <c r="U13" s="41" t="str">
        <f>'新参数（德系）'!I12</f>
        <v>×</v>
      </c>
      <c r="V13" s="40" t="s">
        <v>32</v>
      </c>
      <c r="W13" s="41" t="str">
        <f>'新参数（美系）'!I12</f>
        <v>×</v>
      </c>
      <c r="X13" s="41" t="str">
        <f>'新参数（德系）'!F12</f>
        <v>×</v>
      </c>
      <c r="Y13" s="41" t="str">
        <f>'新参数（苏系）'!F12</f>
        <v>×</v>
      </c>
      <c r="Z13" s="41" t="str">
        <f>'新参数（日系）'!F12</f>
        <v>×</v>
      </c>
      <c r="AA13" s="40" t="s">
        <v>32</v>
      </c>
      <c r="AB13" s="41" t="str">
        <f>'新参数（美系）'!D12</f>
        <v>×</v>
      </c>
      <c r="AC13" s="41" t="str">
        <f>'新参数（德系）'!H12</f>
        <v>×</v>
      </c>
      <c r="AD13" s="41" t="str">
        <f>'新参数（苏系）'!G12</f>
        <v>×</v>
      </c>
      <c r="AE13" s="40" t="s">
        <v>32</v>
      </c>
      <c r="AJ13" s="40" t="s">
        <v>32</v>
      </c>
      <c r="AK13"/>
      <c r="AL13"/>
      <c r="AM13"/>
      <c r="AN13"/>
    </row>
    <row r="14" s="36" customFormat="1" ht="50.1" customHeight="1" spans="1:36">
      <c r="A14" s="42" t="str">
        <f>'新参数（美系）'!B13</f>
        <v>damage（最大伤害）</v>
      </c>
      <c r="B14" s="36">
        <f>'新参数（美系）'!F13</f>
        <v>390.525</v>
      </c>
      <c r="C14" s="36">
        <f>'新参数（德系）'!C13</f>
        <v>396</v>
      </c>
      <c r="D14" s="36">
        <f>'新参数（苏系）'!C13</f>
        <v>361.95</v>
      </c>
      <c r="E14" s="36">
        <f>'新参数（日系）'!C13</f>
        <v>308</v>
      </c>
      <c r="F14" s="42" t="s">
        <v>34</v>
      </c>
      <c r="G14" s="36">
        <f>'新参数（美系）'!L13</f>
        <v>0</v>
      </c>
      <c r="H14" s="36">
        <f>'新参数（德系）'!K13</f>
        <v>0</v>
      </c>
      <c r="I14" s="36">
        <f>'新参数（苏系）'!I13</f>
        <v>0</v>
      </c>
      <c r="J14" s="36">
        <f>'新参数（日系）'!G13</f>
        <v>0</v>
      </c>
      <c r="K14" s="42" t="str">
        <f t="shared" si="1"/>
        <v>damage（最大伤害）</v>
      </c>
      <c r="L14" s="36">
        <f>'新参数（美系）'!E13</f>
        <v>228.6</v>
      </c>
      <c r="M14" s="36">
        <f>'新参数（德系）'!D13</f>
        <v>168.75</v>
      </c>
      <c r="N14" s="36">
        <f>'新参数（苏系）'!D13</f>
        <v>209.55</v>
      </c>
      <c r="O14" s="36">
        <f>'新参数（日系）'!D13</f>
        <v>110</v>
      </c>
      <c r="P14" s="42" t="s">
        <v>34</v>
      </c>
      <c r="Q14" s="41">
        <f>'新参数（美系）'!C13</f>
        <v>257.175</v>
      </c>
      <c r="R14" s="41">
        <f>'新参数（德系）'!G13</f>
        <v>287.1</v>
      </c>
      <c r="S14" s="42" t="str">
        <f t="shared" si="0"/>
        <v>damage（最大伤害）</v>
      </c>
      <c r="T14" s="36">
        <f>'新参数（美系）'!H13</f>
        <v>390.525</v>
      </c>
      <c r="U14" s="36">
        <f>'新参数（德系）'!I13</f>
        <v>396</v>
      </c>
      <c r="V14" s="42" t="s">
        <v>34</v>
      </c>
      <c r="W14" s="36">
        <f>'新参数（美系）'!I13</f>
        <v>390.525</v>
      </c>
      <c r="X14" s="36">
        <f>'新参数（德系）'!F13</f>
        <v>396</v>
      </c>
      <c r="Y14" s="36">
        <f>'新参数（苏系）'!F13</f>
        <v>361.95</v>
      </c>
      <c r="Z14" s="36">
        <f>'新参数（日系）'!F13</f>
        <v>308</v>
      </c>
      <c r="AA14" s="42" t="s">
        <v>34</v>
      </c>
      <c r="AB14" s="36">
        <f>'新参数（美系）'!D13</f>
        <v>390.525</v>
      </c>
      <c r="AC14" s="36">
        <f>'新参数（德系）'!H13</f>
        <v>396</v>
      </c>
      <c r="AD14" s="36">
        <f>'新参数（苏系）'!G13</f>
        <v>361.95</v>
      </c>
      <c r="AE14" s="42" t="s">
        <v>34</v>
      </c>
      <c r="AJ14" s="42" t="s">
        <v>34</v>
      </c>
    </row>
    <row r="15" s="36" customFormat="1" ht="50.1" customHeight="1" spans="1:36">
      <c r="A15" s="42" t="str">
        <f>'新参数（美系）'!B14</f>
        <v>maxDamageRange
（制造最大伤害的距离）（英寸）</v>
      </c>
      <c r="B15" s="41">
        <f>'新参数（美系）'!F14</f>
        <v>1</v>
      </c>
      <c r="C15" s="41">
        <f>'新参数（德系）'!C14</f>
        <v>1</v>
      </c>
      <c r="D15" s="41">
        <f>'新参数（苏系）'!C14</f>
        <v>1</v>
      </c>
      <c r="E15" s="41">
        <f>'新参数（日系）'!C14</f>
        <v>1</v>
      </c>
      <c r="F15" s="40" t="s">
        <v>35</v>
      </c>
      <c r="G15" s="41">
        <f>'新参数（美系）'!L14</f>
        <v>0</v>
      </c>
      <c r="H15" s="41">
        <f>'新参数（德系）'!K14</f>
        <v>0</v>
      </c>
      <c r="I15" s="41">
        <f>'新参数（苏系）'!I14</f>
        <v>0</v>
      </c>
      <c r="J15" s="41">
        <f>'新参数（日系）'!G14</f>
        <v>0</v>
      </c>
      <c r="K15" s="40" t="str">
        <f t="shared" si="1"/>
        <v>maxDamageRange
（制造最大伤害的距离）（英寸）</v>
      </c>
      <c r="L15" s="41">
        <f>'新参数（美系）'!E14</f>
        <v>1</v>
      </c>
      <c r="M15" s="41">
        <f>'新参数（德系）'!D14</f>
        <v>1</v>
      </c>
      <c r="N15" s="41">
        <f>'新参数（苏系）'!D14</f>
        <v>1</v>
      </c>
      <c r="O15" s="41">
        <f>'新参数（日系）'!D14</f>
        <v>1</v>
      </c>
      <c r="P15" s="40" t="s">
        <v>35</v>
      </c>
      <c r="Q15" s="41">
        <f>'新参数（美系）'!C14</f>
        <v>1</v>
      </c>
      <c r="R15" s="41">
        <f>'新参数（德系）'!G14</f>
        <v>1</v>
      </c>
      <c r="S15" s="40" t="str">
        <f t="shared" si="0"/>
        <v>maxDamageRange
（制造最大伤害的距离）（英寸）</v>
      </c>
      <c r="T15" s="36">
        <f>'新参数（美系）'!H14</f>
        <v>1</v>
      </c>
      <c r="U15" s="36">
        <f>'新参数（德系）'!I14</f>
        <v>1</v>
      </c>
      <c r="V15" s="40" t="s">
        <v>35</v>
      </c>
      <c r="W15" s="41">
        <f>'新参数（美系）'!I14</f>
        <v>1</v>
      </c>
      <c r="X15" s="41">
        <f>'新参数（德系）'!F14</f>
        <v>1</v>
      </c>
      <c r="Y15" s="41">
        <f>'新参数（苏系）'!F14</f>
        <v>1</v>
      </c>
      <c r="Z15" s="41">
        <f>'新参数（日系）'!F14</f>
        <v>1</v>
      </c>
      <c r="AA15" s="40" t="s">
        <v>35</v>
      </c>
      <c r="AB15" s="41">
        <f>'新参数（美系）'!D14</f>
        <v>1</v>
      </c>
      <c r="AC15" s="41">
        <f>'新参数（德系）'!H14</f>
        <v>1</v>
      </c>
      <c r="AD15" s="41">
        <f>'新参数（苏系）'!G14</f>
        <v>1</v>
      </c>
      <c r="AE15" s="40" t="s">
        <v>35</v>
      </c>
      <c r="AJ15" s="40" t="s">
        <v>35</v>
      </c>
    </row>
    <row r="16" s="36" customFormat="1" ht="50.1" customHeight="1" spans="1:36">
      <c r="A16" s="42" t="str">
        <f>'新参数（美系）'!B15</f>
        <v>minDamage（最小伤害）</v>
      </c>
      <c r="B16" s="36">
        <f>'新参数（美系）'!F15</f>
        <v>7.62</v>
      </c>
      <c r="C16" s="36">
        <f>'新参数（德系）'!C15</f>
        <v>7.62</v>
      </c>
      <c r="D16" s="36">
        <f>'新参数（苏系）'!C15</f>
        <v>7.62</v>
      </c>
      <c r="E16" s="36">
        <f>'新参数（日系）'!C15</f>
        <v>7.7</v>
      </c>
      <c r="F16" s="42" t="s">
        <v>36</v>
      </c>
      <c r="G16" s="36">
        <f>'新参数（美系）'!L15</f>
        <v>0</v>
      </c>
      <c r="H16" s="36">
        <f>'新参数（德系）'!K15</f>
        <v>0</v>
      </c>
      <c r="I16" s="36">
        <f>'新参数（苏系）'!I15</f>
        <v>0</v>
      </c>
      <c r="J16" s="36">
        <f>'新参数（日系）'!G15</f>
        <v>0</v>
      </c>
      <c r="K16" s="42" t="str">
        <f t="shared" si="1"/>
        <v>minDamage（最小伤害）</v>
      </c>
      <c r="L16" s="36">
        <f>'新参数（美系）'!E15</f>
        <v>11.43</v>
      </c>
      <c r="M16" s="36">
        <f>'新参数（德系）'!D15</f>
        <v>9</v>
      </c>
      <c r="N16" s="36">
        <f>'新参数（苏系）'!D15</f>
        <v>7.62</v>
      </c>
      <c r="O16" s="36">
        <f>'新参数（日系）'!D15</f>
        <v>8</v>
      </c>
      <c r="P16" s="42" t="s">
        <v>36</v>
      </c>
      <c r="Q16" s="36">
        <f>'新参数（美系）'!C15</f>
        <v>7.62</v>
      </c>
      <c r="R16" s="36">
        <f>'新参数（德系）'!G15</f>
        <v>7.62</v>
      </c>
      <c r="S16" s="42" t="str">
        <f t="shared" si="0"/>
        <v>minDamage（最小伤害）</v>
      </c>
      <c r="T16" s="36">
        <f>'新参数（美系）'!H15</f>
        <v>7.62</v>
      </c>
      <c r="U16" s="36">
        <f>'新参数（德系）'!I15</f>
        <v>7.62</v>
      </c>
      <c r="V16" s="42" t="s">
        <v>36</v>
      </c>
      <c r="W16" s="36">
        <f>'新参数（美系）'!I15</f>
        <v>7.62</v>
      </c>
      <c r="X16" s="36">
        <f>'新参数（德系）'!F15</f>
        <v>7.62</v>
      </c>
      <c r="Y16" s="36">
        <f>'新参数（苏系）'!F15</f>
        <v>7.62</v>
      </c>
      <c r="Z16" s="36">
        <f>'新参数（日系）'!F15</f>
        <v>7.7</v>
      </c>
      <c r="AA16" s="42" t="s">
        <v>36</v>
      </c>
      <c r="AB16" s="36">
        <f>'新参数（美系）'!D15</f>
        <v>7.62</v>
      </c>
      <c r="AC16" s="36">
        <f>'新参数（德系）'!H15</f>
        <v>7.62</v>
      </c>
      <c r="AD16" s="36">
        <f>'新参数（苏系）'!G15</f>
        <v>7.62</v>
      </c>
      <c r="AE16" s="42" t="s">
        <v>36</v>
      </c>
      <c r="AJ16" s="42" t="s">
        <v>36</v>
      </c>
    </row>
    <row r="17" s="36" customFormat="1" ht="50.1" customHeight="1" spans="1:36">
      <c r="A17" s="42" t="str">
        <f>'新参数（美系）'!B16</f>
        <v>minDamageRange
（制造最小伤害的距离）（英寸）</v>
      </c>
      <c r="B17" s="36">
        <f>'新参数（美系）'!F16</f>
        <v>39370</v>
      </c>
      <c r="C17" s="36">
        <f>'新参数（德系）'!C16</f>
        <v>39370</v>
      </c>
      <c r="D17" s="36">
        <f>'新参数（苏系）'!C16</f>
        <v>39370</v>
      </c>
      <c r="E17" s="36">
        <f>'新参数（日系）'!C16</f>
        <v>39370</v>
      </c>
      <c r="F17" s="42" t="s">
        <v>37</v>
      </c>
      <c r="G17" s="36">
        <f>'新参数（美系）'!L16</f>
        <v>0</v>
      </c>
      <c r="H17" s="36">
        <f>'新参数（德系）'!K16</f>
        <v>0</v>
      </c>
      <c r="I17" s="36">
        <f>'新参数（苏系）'!I16</f>
        <v>0</v>
      </c>
      <c r="J17" s="36">
        <f>'新参数（日系）'!G16</f>
        <v>0</v>
      </c>
      <c r="K17" s="42" t="str">
        <f t="shared" si="1"/>
        <v>minDamageRange
（制造最小伤害的距离）（英寸）</v>
      </c>
      <c r="L17" s="36">
        <f>'新参数（美系）'!E16</f>
        <v>5905.5</v>
      </c>
      <c r="M17" s="36">
        <f>'新参数（德系）'!D16</f>
        <v>7874</v>
      </c>
      <c r="N17" s="36">
        <f>'新参数（苏系）'!D16</f>
        <v>9842.5</v>
      </c>
      <c r="O17" s="36">
        <f>'新参数（日系）'!D16</f>
        <v>7874</v>
      </c>
      <c r="P17" s="42" t="s">
        <v>37</v>
      </c>
      <c r="Q17" s="41">
        <f>'新参数（美系）'!C16</f>
        <v>11811</v>
      </c>
      <c r="R17" s="41">
        <f>'新参数（德系）'!G16</f>
        <v>19685</v>
      </c>
      <c r="S17" s="42" t="str">
        <f t="shared" si="0"/>
        <v>minDamageRange
（制造最小伤害的距离）（英寸）</v>
      </c>
      <c r="T17" s="36">
        <f>'新参数（美系）'!H16</f>
        <v>39370</v>
      </c>
      <c r="U17" s="36">
        <f>'新参数（德系）'!I16</f>
        <v>39370</v>
      </c>
      <c r="V17" s="42" t="s">
        <v>37</v>
      </c>
      <c r="W17" s="36">
        <f>'新参数（美系）'!I16</f>
        <v>39370</v>
      </c>
      <c r="X17" s="36">
        <f>'新参数（德系）'!F16</f>
        <v>39370</v>
      </c>
      <c r="Y17" s="36">
        <f>'新参数（苏系）'!F16</f>
        <v>39370</v>
      </c>
      <c r="Z17" s="36">
        <f>'新参数（日系）'!F16</f>
        <v>39370</v>
      </c>
      <c r="AA17" s="42" t="s">
        <v>37</v>
      </c>
      <c r="AB17" s="36">
        <f>'新参数（美系）'!D16</f>
        <v>39370</v>
      </c>
      <c r="AC17" s="36">
        <f>'新参数（德系）'!H16</f>
        <v>39370</v>
      </c>
      <c r="AD17" s="36">
        <f>'新参数（苏系）'!G16</f>
        <v>39370</v>
      </c>
      <c r="AE17" s="42" t="s">
        <v>37</v>
      </c>
      <c r="AJ17" s="42" t="s">
        <v>37</v>
      </c>
    </row>
    <row r="18" s="36" customFormat="1" ht="50.1" customHeight="1" spans="1:36">
      <c r="A18" s="42" t="str">
        <f>'新参数（美系）'!B17</f>
        <v>meleeDamage（肉搏伤害）</v>
      </c>
      <c r="B18" s="36">
        <f>'新参数（美系）'!F17</f>
        <v>300</v>
      </c>
      <c r="C18" s="36">
        <f>'新参数（德系）'!C17</f>
        <v>300</v>
      </c>
      <c r="D18" s="36">
        <f>'新参数（苏系）'!C17</f>
        <v>300</v>
      </c>
      <c r="E18" s="36">
        <f>'新参数（日系）'!C17</f>
        <v>300</v>
      </c>
      <c r="F18" s="42" t="s">
        <v>38</v>
      </c>
      <c r="G18" s="36">
        <f>'新参数（美系）'!L17</f>
        <v>0</v>
      </c>
      <c r="H18" s="36">
        <f>'新参数（德系）'!K17</f>
        <v>0</v>
      </c>
      <c r="I18" s="36">
        <f>'新参数（苏系）'!I17</f>
        <v>0</v>
      </c>
      <c r="J18" s="36">
        <f>'新参数（日系）'!G17</f>
        <v>0</v>
      </c>
      <c r="K18" s="42" t="str">
        <f t="shared" si="1"/>
        <v>meleeDamage（肉搏伤害）</v>
      </c>
      <c r="L18" s="36">
        <f>'新参数（美系）'!E17</f>
        <v>300</v>
      </c>
      <c r="M18" s="36">
        <f>'新参数（德系）'!D17</f>
        <v>300</v>
      </c>
      <c r="N18" s="36">
        <f>'新参数（苏系）'!D17</f>
        <v>300</v>
      </c>
      <c r="O18" s="36">
        <f>'新参数（日系）'!D17</f>
        <v>300</v>
      </c>
      <c r="P18" s="42" t="s">
        <v>38</v>
      </c>
      <c r="Q18" s="41">
        <f>'新参数（美系）'!C17</f>
        <v>300</v>
      </c>
      <c r="R18" s="41">
        <f>'新参数（德系）'!G17</f>
        <v>300</v>
      </c>
      <c r="S18" s="42" t="str">
        <f t="shared" si="0"/>
        <v>meleeDamage（肉搏伤害）</v>
      </c>
      <c r="T18" s="36">
        <f>'新参数（美系）'!H17</f>
        <v>300</v>
      </c>
      <c r="U18" s="36">
        <f>'新参数（德系）'!I17</f>
        <v>300</v>
      </c>
      <c r="V18" s="42" t="s">
        <v>38</v>
      </c>
      <c r="W18" s="36">
        <f>'新参数（美系）'!I17</f>
        <v>300</v>
      </c>
      <c r="X18" s="36">
        <f>'新参数（德系）'!F17</f>
        <v>300</v>
      </c>
      <c r="Y18" s="36">
        <f>'新参数（苏系）'!F17</f>
        <v>300</v>
      </c>
      <c r="Z18" s="36">
        <f>'新参数（日系）'!F17</f>
        <v>300</v>
      </c>
      <c r="AA18" s="42" t="s">
        <v>38</v>
      </c>
      <c r="AB18" s="36">
        <f>'新参数（美系）'!D17</f>
        <v>300</v>
      </c>
      <c r="AC18" s="36">
        <f>'新参数（德系）'!H17</f>
        <v>300</v>
      </c>
      <c r="AD18" s="36">
        <f>'新参数（苏系）'!G17</f>
        <v>300</v>
      </c>
      <c r="AE18" s="42" t="s">
        <v>38</v>
      </c>
      <c r="AJ18" s="42" t="s">
        <v>38</v>
      </c>
    </row>
    <row r="19" s="36" customFormat="1" ht="50.1" customHeight="1" spans="1:36">
      <c r="A19" s="42" t="str">
        <f>'新参数（美系）'!B18</f>
        <v>playerDamage（自我伤害）</v>
      </c>
      <c r="B19" s="36">
        <f>'新参数（美系）'!F18</f>
        <v>39.0525</v>
      </c>
      <c r="C19" s="36">
        <f>'新参数（德系）'!C18</f>
        <v>39.6</v>
      </c>
      <c r="D19" s="36">
        <f>'新参数（苏系）'!C18</f>
        <v>36.195</v>
      </c>
      <c r="E19" s="36">
        <f>'新参数（日系）'!C18</f>
        <v>30.8</v>
      </c>
      <c r="F19" s="42" t="s">
        <v>39</v>
      </c>
      <c r="G19" s="36">
        <f>'新参数（美系）'!L18</f>
        <v>0</v>
      </c>
      <c r="H19" s="36">
        <f>'新参数（德系）'!K18</f>
        <v>0</v>
      </c>
      <c r="I19" s="36">
        <f>'新参数（苏系）'!I18</f>
        <v>0</v>
      </c>
      <c r="J19" s="36">
        <f>'新参数（日系）'!G18</f>
        <v>0</v>
      </c>
      <c r="K19" s="42" t="str">
        <f t="shared" si="1"/>
        <v>playerDamage（自我伤害）</v>
      </c>
      <c r="L19" s="36">
        <f>'新参数（美系）'!E18</f>
        <v>22.86</v>
      </c>
      <c r="M19" s="36">
        <f>'新参数（德系）'!D18</f>
        <v>16.875</v>
      </c>
      <c r="N19" s="36">
        <f>'新参数（苏系）'!D18</f>
        <v>20.955</v>
      </c>
      <c r="O19" s="36">
        <f>'新参数（日系）'!D18</f>
        <v>11</v>
      </c>
      <c r="P19" s="42" t="s">
        <v>39</v>
      </c>
      <c r="Q19" s="41">
        <f>'新参数（美系）'!C18</f>
        <v>25.7175</v>
      </c>
      <c r="R19" s="41">
        <f>'新参数（德系）'!G18</f>
        <v>28.71</v>
      </c>
      <c r="S19" s="42" t="str">
        <f t="shared" si="0"/>
        <v>playerDamage（自我伤害）</v>
      </c>
      <c r="T19" s="36">
        <f>'新参数（美系）'!H18</f>
        <v>39.0525</v>
      </c>
      <c r="U19" s="36">
        <f>'新参数（德系）'!I18</f>
        <v>39.6</v>
      </c>
      <c r="V19" s="42" t="s">
        <v>39</v>
      </c>
      <c r="W19" s="36">
        <f>'新参数（美系）'!I18</f>
        <v>39.0525</v>
      </c>
      <c r="X19" s="36">
        <f>'新参数（德系）'!F18</f>
        <v>39.6</v>
      </c>
      <c r="Y19" s="36">
        <f>'新参数（苏系）'!F18</f>
        <v>36.195</v>
      </c>
      <c r="Z19" s="36">
        <f>'新参数（日系）'!F18</f>
        <v>30.8</v>
      </c>
      <c r="AA19" s="42" t="s">
        <v>39</v>
      </c>
      <c r="AB19" s="36">
        <f>'新参数（美系）'!D18</f>
        <v>39.0525</v>
      </c>
      <c r="AC19" s="36">
        <f>'新参数（德系）'!H18</f>
        <v>39.6</v>
      </c>
      <c r="AD19" s="36">
        <f>'新参数（苏系）'!G18</f>
        <v>36.195</v>
      </c>
      <c r="AE19" s="42" t="s">
        <v>39</v>
      </c>
      <c r="AJ19" s="42" t="s">
        <v>39</v>
      </c>
    </row>
    <row r="20" ht="50.1" customHeight="1" spans="1:40">
      <c r="A20" s="40" t="str">
        <f>'新参数（美系）'!B19</f>
        <v>maxAmmo（最大携弹量）</v>
      </c>
      <c r="B20" s="41">
        <f>'新参数（美系）'!F19</f>
        <v>90</v>
      </c>
      <c r="C20" s="41">
        <f>'新参数（德系）'!C19</f>
        <v>90</v>
      </c>
      <c r="D20" s="41">
        <f>'新参数（苏系）'!C19</f>
        <v>90</v>
      </c>
      <c r="E20" s="41">
        <f>'新参数（日系）'!C19</f>
        <v>150</v>
      </c>
      <c r="F20" s="40" t="s">
        <v>41</v>
      </c>
      <c r="G20" s="41">
        <f>'新参数（美系）'!L19</f>
        <v>0</v>
      </c>
      <c r="H20" s="41">
        <f>'新参数（德系）'!K19</f>
        <v>0</v>
      </c>
      <c r="I20" s="41">
        <f>'新参数（苏系）'!I19</f>
        <v>0</v>
      </c>
      <c r="J20" s="41">
        <f>'新参数（日系）'!G19</f>
        <v>0</v>
      </c>
      <c r="K20" s="40" t="str">
        <f t="shared" si="1"/>
        <v>maxAmmo（最大携弹量）</v>
      </c>
      <c r="L20" s="41">
        <f>'新参数（美系）'!E19</f>
        <v>240</v>
      </c>
      <c r="M20" s="41">
        <f>'新参数（德系）'!D19</f>
        <v>256</v>
      </c>
      <c r="N20" s="41">
        <f>'新参数（苏系）'!D19</f>
        <v>177</v>
      </c>
      <c r="O20" s="41">
        <f>'新参数（日系）'!D19</f>
        <v>270</v>
      </c>
      <c r="P20" s="40" t="s">
        <v>41</v>
      </c>
      <c r="Q20" s="41">
        <f>'新参数（美系）'!C19</f>
        <v>180</v>
      </c>
      <c r="R20" s="41">
        <f>'新参数（德系）'!G19</f>
        <v>240</v>
      </c>
      <c r="S20" s="40" t="str">
        <f t="shared" si="0"/>
        <v>maxAmmo（最大携弹量）</v>
      </c>
      <c r="T20" s="41">
        <f>'新参数（美系）'!H19</f>
        <v>240</v>
      </c>
      <c r="U20" s="41">
        <f>'新参数（德系）'!I19</f>
        <v>240</v>
      </c>
      <c r="V20" s="40" t="s">
        <v>41</v>
      </c>
      <c r="W20" s="41">
        <f>'新参数（美系）'!I19</f>
        <v>175</v>
      </c>
      <c r="X20" s="41">
        <f>'新参数（德系）'!F19</f>
        <v>150</v>
      </c>
      <c r="Y20" s="41">
        <f>'新参数（苏系）'!F19</f>
        <v>188</v>
      </c>
      <c r="Z20" s="41">
        <f>'新参数（日系）'!F19</f>
        <v>240</v>
      </c>
      <c r="AA20" s="40" t="s">
        <v>41</v>
      </c>
      <c r="AB20" s="41">
        <f>'新参数（美系）'!D19</f>
        <v>112</v>
      </c>
      <c r="AC20" s="41">
        <f>'新参数（德系）'!H19</f>
        <v>120</v>
      </c>
      <c r="AD20" s="41">
        <f>'新参数（苏系）'!G19</f>
        <v>120</v>
      </c>
      <c r="AE20" s="40" t="s">
        <v>41</v>
      </c>
      <c r="AJ20" s="40" t="s">
        <v>41</v>
      </c>
      <c r="AK20"/>
      <c r="AL20"/>
      <c r="AM20"/>
      <c r="AN20"/>
    </row>
    <row r="21" ht="50.1" customHeight="1" spans="1:40">
      <c r="A21" s="40" t="str">
        <f>'新参数（美系）'!B20</f>
        <v>startAmmo（初始携弹量）</v>
      </c>
      <c r="B21" s="41">
        <f>'新参数（美系）'!F20</f>
        <v>75</v>
      </c>
      <c r="C21" s="41">
        <f>'新参数（德系）'!C20</f>
        <v>75</v>
      </c>
      <c r="D21" s="41">
        <f>'新参数（苏系）'!C20</f>
        <v>75</v>
      </c>
      <c r="E21" s="41">
        <f>'新参数（日系）'!C20</f>
        <v>75</v>
      </c>
      <c r="F21" s="40" t="s">
        <v>42</v>
      </c>
      <c r="G21" s="41">
        <f>'新参数（美系）'!L20</f>
        <v>0</v>
      </c>
      <c r="H21" s="41">
        <f>'新参数（德系）'!K20</f>
        <v>0</v>
      </c>
      <c r="I21" s="41">
        <f>'新参数（苏系）'!I20</f>
        <v>0</v>
      </c>
      <c r="J21" s="41">
        <f>'新参数（日系）'!G20</f>
        <v>0</v>
      </c>
      <c r="K21" s="40" t="str">
        <f t="shared" si="1"/>
        <v>startAmmo（初始携弹量）</v>
      </c>
      <c r="L21" s="41">
        <f>'新参数（美系）'!E20</f>
        <v>150</v>
      </c>
      <c r="M21" s="41">
        <f>'新参数（德系）'!D20</f>
        <v>160</v>
      </c>
      <c r="N21" s="41">
        <f>'新参数（苏系）'!D20</f>
        <v>142</v>
      </c>
      <c r="O21" s="41">
        <f>'新参数（日系）'!D20</f>
        <v>150</v>
      </c>
      <c r="P21" s="40" t="s">
        <v>42</v>
      </c>
      <c r="Q21" s="41">
        <f>'新参数（美系）'!C20</f>
        <v>75</v>
      </c>
      <c r="R21" s="41">
        <f>'新参数（德系）'!G20</f>
        <v>150</v>
      </c>
      <c r="S21" s="40" t="str">
        <f t="shared" si="0"/>
        <v>startAmmo（初始携弹量）</v>
      </c>
      <c r="T21" s="41">
        <f>'新参数（美系）'!H20</f>
        <v>140</v>
      </c>
      <c r="U21" s="41">
        <f>'新参数（德系）'!I20</f>
        <v>100</v>
      </c>
      <c r="V21" s="40" t="s">
        <v>42</v>
      </c>
      <c r="W21" s="41">
        <f>'新参数（美系）'!I20</f>
        <v>100</v>
      </c>
      <c r="X21" s="41">
        <f>'新参数（德系）'!F20</f>
        <v>100</v>
      </c>
      <c r="Y21" s="41">
        <f>'新参数（苏系）'!F20</f>
        <v>141</v>
      </c>
      <c r="Z21" s="41">
        <f>'新参数（日系）'!F20</f>
        <v>90</v>
      </c>
      <c r="AA21" s="40" t="s">
        <v>42</v>
      </c>
      <c r="AB21" s="41">
        <f>'新参数（美系）'!D20</f>
        <v>80</v>
      </c>
      <c r="AC21" s="41">
        <f>'新参数（德系）'!H20</f>
        <v>60</v>
      </c>
      <c r="AD21" s="41">
        <f>'新参数（苏系）'!G20</f>
        <v>60</v>
      </c>
      <c r="AE21" s="40" t="s">
        <v>42</v>
      </c>
      <c r="AJ21" s="40" t="s">
        <v>42</v>
      </c>
      <c r="AK21"/>
      <c r="AL21"/>
      <c r="AM21"/>
      <c r="AN21"/>
    </row>
    <row r="22" ht="50.1" customHeight="1" spans="1:40">
      <c r="A22" s="40" t="str">
        <f>'新参数（美系）'!B21</f>
        <v>clipSize
（弹仓/弹匣/弹鼓容量）</v>
      </c>
      <c r="B22" s="41">
        <f>'新参数（美系）'!F21</f>
        <v>5</v>
      </c>
      <c r="C22" s="41">
        <f>'新参数（德系）'!C21</f>
        <v>5</v>
      </c>
      <c r="D22" s="41">
        <f>'新参数（苏系）'!C21</f>
        <v>5</v>
      </c>
      <c r="E22" s="41">
        <f>'新参数（日系）'!C21</f>
        <v>5</v>
      </c>
      <c r="F22" s="40" t="s">
        <v>43</v>
      </c>
      <c r="G22" s="41">
        <f>'新参数（美系）'!L21</f>
        <v>0</v>
      </c>
      <c r="H22" s="41">
        <f>'新参数（德系）'!K21</f>
        <v>0</v>
      </c>
      <c r="I22" s="41">
        <f>'新参数（苏系）'!I21</f>
        <v>0</v>
      </c>
      <c r="J22" s="41">
        <f>'新参数（日系）'!G21</f>
        <v>0</v>
      </c>
      <c r="K22" s="40" t="str">
        <f t="shared" si="1"/>
        <v>clipSize
（弹仓/弹匣/弹鼓容量）</v>
      </c>
      <c r="L22" s="41">
        <f>'新参数（美系）'!E21</f>
        <v>30</v>
      </c>
      <c r="M22" s="41">
        <f>'新参数（德系）'!D21</f>
        <v>32</v>
      </c>
      <c r="N22" s="41">
        <f>'新参数（苏系）'!D21</f>
        <v>71</v>
      </c>
      <c r="O22" s="41">
        <f>'新参数（日系）'!D21</f>
        <v>30</v>
      </c>
      <c r="P22" s="40" t="s">
        <v>43</v>
      </c>
      <c r="Q22" s="41">
        <f>'新参数（美系）'!C21</f>
        <v>15</v>
      </c>
      <c r="R22" s="41">
        <f>'新参数（德系）'!G21</f>
        <v>30</v>
      </c>
      <c r="S22" s="40" t="str">
        <f t="shared" si="0"/>
        <v>clipSize
（弹仓/弹匣/弹鼓容量）</v>
      </c>
      <c r="T22" s="41">
        <f>'新参数（美系）'!H21</f>
        <v>20</v>
      </c>
      <c r="U22" s="41">
        <f>'新参数（德系）'!I21</f>
        <v>20</v>
      </c>
      <c r="V22" s="40" t="s">
        <v>43</v>
      </c>
      <c r="W22" s="41">
        <f>'新参数（美系）'!I21</f>
        <v>50</v>
      </c>
      <c r="X22" s="41">
        <f>'新参数（德系）'!F21</f>
        <v>50</v>
      </c>
      <c r="Y22" s="41">
        <f>'新参数（苏系）'!F21</f>
        <v>47</v>
      </c>
      <c r="Z22" s="41">
        <f>'新参数（日系）'!F21</f>
        <v>30</v>
      </c>
      <c r="AA22" s="40" t="s">
        <v>43</v>
      </c>
      <c r="AB22" s="41">
        <f>'新参数（美系）'!D21</f>
        <v>8</v>
      </c>
      <c r="AC22" s="41">
        <f>'新参数（德系）'!H21</f>
        <v>10</v>
      </c>
      <c r="AD22" s="41">
        <f>'新参数（苏系）'!G21</f>
        <v>10</v>
      </c>
      <c r="AE22" s="40" t="s">
        <v>43</v>
      </c>
      <c r="AJ22" s="40" t="s">
        <v>43</v>
      </c>
      <c r="AK22"/>
      <c r="AL22"/>
      <c r="AM22"/>
      <c r="AN22"/>
    </row>
    <row r="23" ht="50.1" customHeight="1" spans="1:40">
      <c r="A23" s="40" t="str">
        <f>'新参数（美系）'!B22</f>
        <v>cancelAutoHolsterWhenEmpty
（取消无弹时自动换枪）</v>
      </c>
      <c r="B23" s="41" t="str">
        <f>'新参数（美系）'!F22</f>
        <v>×</v>
      </c>
      <c r="C23" s="41" t="str">
        <f>'新参数（德系）'!C22</f>
        <v>×</v>
      </c>
      <c r="D23" s="41" t="str">
        <f>'新参数（苏系）'!C22</f>
        <v>×</v>
      </c>
      <c r="E23" s="41" t="str">
        <f>'新参数（日系）'!C22</f>
        <v>×</v>
      </c>
      <c r="F23" s="40" t="s">
        <v>44</v>
      </c>
      <c r="G23" s="41">
        <f>'新参数（美系）'!L22</f>
        <v>0</v>
      </c>
      <c r="H23" s="41">
        <f>'新参数（德系）'!K22</f>
        <v>0</v>
      </c>
      <c r="I23" s="41">
        <f>'新参数（苏系）'!I22</f>
        <v>0</v>
      </c>
      <c r="J23" s="41">
        <f>'新参数（日系）'!G22</f>
        <v>0</v>
      </c>
      <c r="K23" s="40" t="str">
        <f t="shared" si="1"/>
        <v>cancelAutoHolsterWhenEmpty
（取消无弹时自动换枪）</v>
      </c>
      <c r="L23" s="41" t="str">
        <f>'新参数（美系）'!E22</f>
        <v>×</v>
      </c>
      <c r="M23" s="41" t="str">
        <f>'新参数（德系）'!D22</f>
        <v>×</v>
      </c>
      <c r="N23" s="41" t="str">
        <f>'新参数（苏系）'!D22</f>
        <v>×</v>
      </c>
      <c r="O23" s="41" t="str">
        <f>'新参数（日系）'!D22</f>
        <v>×</v>
      </c>
      <c r="P23" s="40" t="s">
        <v>44</v>
      </c>
      <c r="Q23" s="41" t="str">
        <f>'新参数（美系）'!C22</f>
        <v>×</v>
      </c>
      <c r="R23" s="41" t="str">
        <f>'新参数（德系）'!G22</f>
        <v>×</v>
      </c>
      <c r="S23" s="40" t="str">
        <f t="shared" si="0"/>
        <v>cancelAutoHolsterWhenEmpty
（取消无弹时自动换枪）</v>
      </c>
      <c r="T23" s="41" t="str">
        <f>'新参数（美系）'!H22</f>
        <v>×</v>
      </c>
      <c r="U23" s="41" t="str">
        <f>'新参数（德系）'!I22</f>
        <v>×</v>
      </c>
      <c r="V23" s="40" t="s">
        <v>44</v>
      </c>
      <c r="W23" s="41" t="str">
        <f>'新参数（美系）'!I22</f>
        <v>×</v>
      </c>
      <c r="X23" s="41" t="str">
        <f>'新参数（德系）'!F22</f>
        <v>×</v>
      </c>
      <c r="Y23" s="41" t="str">
        <f>'新参数（苏系）'!F22</f>
        <v>×</v>
      </c>
      <c r="Z23" s="41" t="str">
        <f>'新参数（日系）'!F22</f>
        <v>×</v>
      </c>
      <c r="AA23" s="40" t="s">
        <v>44</v>
      </c>
      <c r="AB23" s="41" t="str">
        <f>'新参数（美系）'!D22</f>
        <v>×</v>
      </c>
      <c r="AC23" s="41" t="str">
        <f>'新参数（德系）'!H22</f>
        <v>×</v>
      </c>
      <c r="AD23" s="41" t="str">
        <f>'新参数（苏系）'!G22</f>
        <v>×</v>
      </c>
      <c r="AE23" s="40" t="s">
        <v>44</v>
      </c>
      <c r="AJ23" s="40" t="s">
        <v>44</v>
      </c>
      <c r="AK23"/>
      <c r="AL23"/>
      <c r="AM23"/>
      <c r="AN23"/>
    </row>
    <row r="24" ht="50.1" customHeight="1" spans="1:40">
      <c r="A24" s="40" t="str">
        <f>'新参数（美系）'!B23</f>
        <v>suppressAmmoReserveDisplay
（隐藏弹药余量）</v>
      </c>
      <c r="B24" s="41" t="str">
        <f>'新参数（美系）'!F23</f>
        <v>×</v>
      </c>
      <c r="C24" s="41" t="str">
        <f>'新参数（德系）'!C23</f>
        <v>×</v>
      </c>
      <c r="D24" s="41" t="str">
        <f>'新参数（苏系）'!C23</f>
        <v>×</v>
      </c>
      <c r="E24" s="41" t="str">
        <f>'新参数（日系）'!C23</f>
        <v>×</v>
      </c>
      <c r="F24" s="40" t="s">
        <v>45</v>
      </c>
      <c r="G24" s="41">
        <f>'新参数（美系）'!L23</f>
        <v>0</v>
      </c>
      <c r="H24" s="41">
        <f>'新参数（德系）'!K23</f>
        <v>0</v>
      </c>
      <c r="I24" s="41">
        <f>'新参数（苏系）'!I23</f>
        <v>0</v>
      </c>
      <c r="J24" s="41">
        <f>'新参数（日系）'!G23</f>
        <v>0</v>
      </c>
      <c r="K24" s="40" t="str">
        <f t="shared" si="1"/>
        <v>suppressAmmoReserveDisplay
（隐藏弹药余量）</v>
      </c>
      <c r="L24" s="41" t="str">
        <f>'新参数（美系）'!E23</f>
        <v>×</v>
      </c>
      <c r="M24" s="41" t="str">
        <f>'新参数（德系）'!D23</f>
        <v>×</v>
      </c>
      <c r="N24" s="41" t="str">
        <f>'新参数（苏系）'!D23</f>
        <v>×</v>
      </c>
      <c r="O24" s="41" t="str">
        <f>'新参数（日系）'!D23</f>
        <v>×</v>
      </c>
      <c r="P24" s="40" t="s">
        <v>45</v>
      </c>
      <c r="Q24" s="41" t="str">
        <f>'新参数（美系）'!C23</f>
        <v>×</v>
      </c>
      <c r="R24" s="41" t="str">
        <f>'新参数（德系）'!G23</f>
        <v>×</v>
      </c>
      <c r="S24" s="40" t="str">
        <f t="shared" si="0"/>
        <v>suppressAmmoReserveDisplay
（隐藏弹药余量）</v>
      </c>
      <c r="T24" s="41" t="str">
        <f>'新参数（美系）'!H23</f>
        <v>×</v>
      </c>
      <c r="U24" s="41" t="str">
        <f>'新参数（德系）'!I23</f>
        <v>×</v>
      </c>
      <c r="V24" s="40" t="s">
        <v>45</v>
      </c>
      <c r="W24" s="41" t="str">
        <f>'新参数（美系）'!I23</f>
        <v>×</v>
      </c>
      <c r="X24" s="41" t="str">
        <f>'新参数（德系）'!F23</f>
        <v>×</v>
      </c>
      <c r="Y24" s="41" t="str">
        <f>'新参数（苏系）'!F23</f>
        <v>×</v>
      </c>
      <c r="Z24" s="41" t="str">
        <f>'新参数（日系）'!F23</f>
        <v>×</v>
      </c>
      <c r="AA24" s="40" t="s">
        <v>45</v>
      </c>
      <c r="AB24" s="41" t="str">
        <f>'新参数（美系）'!D23</f>
        <v>×</v>
      </c>
      <c r="AC24" s="41" t="str">
        <f>'新参数（德系）'!H23</f>
        <v>×</v>
      </c>
      <c r="AD24" s="41" t="str">
        <f>'新参数（苏系）'!G23</f>
        <v>×</v>
      </c>
      <c r="AE24" s="40" t="s">
        <v>45</v>
      </c>
      <c r="AJ24" s="40" t="s">
        <v>45</v>
      </c>
      <c r="AK24"/>
      <c r="AL24"/>
      <c r="AM24"/>
      <c r="AN24"/>
    </row>
    <row r="25" ht="50.1" customHeight="1" spans="1:40">
      <c r="A25" s="40" t="str">
        <f>'新参数（美系）'!B24</f>
        <v>Zoom FOV（瞄准时的放大参数）
（越小越大）</v>
      </c>
      <c r="B25" s="41">
        <f>'新参数（美系）'!F24</f>
        <v>60</v>
      </c>
      <c r="C25" s="41">
        <f>'新参数（德系）'!C24</f>
        <v>60</v>
      </c>
      <c r="D25" s="41">
        <f>'新参数（苏系）'!C24</f>
        <v>60</v>
      </c>
      <c r="E25" s="41">
        <f>'新参数（日系）'!C24</f>
        <v>60</v>
      </c>
      <c r="F25" s="40" t="s">
        <v>47</v>
      </c>
      <c r="G25" s="41">
        <f>'新参数（美系）'!L24</f>
        <v>0</v>
      </c>
      <c r="H25" s="41">
        <f>'新参数（德系）'!K24</f>
        <v>0</v>
      </c>
      <c r="I25" s="41">
        <f>'新参数（苏系）'!I24</f>
        <v>0</v>
      </c>
      <c r="J25" s="41">
        <f>'新参数（日系）'!G24</f>
        <v>0</v>
      </c>
      <c r="K25" s="40" t="str">
        <f t="shared" si="1"/>
        <v>Zoom FOV（瞄准时的放大参数）
（越小越大）</v>
      </c>
      <c r="L25" s="41">
        <f>'新参数（美系）'!E24</f>
        <v>60</v>
      </c>
      <c r="M25" s="41">
        <f>'新参数（德系）'!D24</f>
        <v>60</v>
      </c>
      <c r="N25" s="41">
        <f>'新参数（苏系）'!D24</f>
        <v>60</v>
      </c>
      <c r="O25" s="41">
        <f>'新参数（日系）'!D24</f>
        <v>60</v>
      </c>
      <c r="P25" s="40" t="s">
        <v>47</v>
      </c>
      <c r="Q25" s="41">
        <f>'新参数（美系）'!C24</f>
        <v>60</v>
      </c>
      <c r="R25" s="41">
        <f>'新参数（德系）'!G24</f>
        <v>60</v>
      </c>
      <c r="S25" s="40" t="str">
        <f t="shared" si="0"/>
        <v>Zoom FOV（瞄准时的放大参数）
（越小越大）</v>
      </c>
      <c r="T25" s="41">
        <f>'新参数（美系）'!H24</f>
        <v>60</v>
      </c>
      <c r="U25" s="41">
        <f>'新参数（德系）'!I24</f>
        <v>60</v>
      </c>
      <c r="V25" s="40" t="s">
        <v>47</v>
      </c>
      <c r="W25" s="41">
        <f>'新参数（美系）'!I24</f>
        <v>60</v>
      </c>
      <c r="X25" s="41">
        <f>'新参数（德系）'!F24</f>
        <v>60</v>
      </c>
      <c r="Y25" s="41">
        <f>'新参数（苏系）'!F24</f>
        <v>60</v>
      </c>
      <c r="Z25" s="41">
        <f>'新参数（日系）'!F24</f>
        <v>60</v>
      </c>
      <c r="AA25" s="40" t="s">
        <v>47</v>
      </c>
      <c r="AB25" s="41">
        <f>'新参数（美系）'!D24</f>
        <v>60</v>
      </c>
      <c r="AC25" s="41">
        <f>'新参数（德系）'!H24</f>
        <v>60</v>
      </c>
      <c r="AD25" s="41">
        <f>'新参数（苏系）'!G24</f>
        <v>60</v>
      </c>
      <c r="AE25" s="40" t="s">
        <v>47</v>
      </c>
      <c r="AJ25" s="40" t="s">
        <v>47</v>
      </c>
      <c r="AK25"/>
      <c r="AL25"/>
      <c r="AM25"/>
      <c r="AN25"/>
    </row>
    <row r="26" s="37" customFormat="1" ht="50.1" customHeight="1" spans="1:36">
      <c r="A26" s="43" t="str">
        <f>'新参数（美系）'!B25</f>
        <v>moveSpeedScale（移动速度系数）</v>
      </c>
      <c r="B26" s="37">
        <f>'新参数（美系）'!F25</f>
        <v>0.917870656628987</v>
      </c>
      <c r="C26" s="37">
        <f>'新参数（德系）'!C25</f>
        <v>0.915589933076224</v>
      </c>
      <c r="D26" s="37">
        <f>'新参数（苏系）'!C25</f>
        <v>0.917004043204671</v>
      </c>
      <c r="E26" s="37">
        <f>'新参数（日系）'!C25</f>
        <v>0.919948520327174</v>
      </c>
      <c r="F26" s="43" t="s">
        <v>48</v>
      </c>
      <c r="G26" s="37">
        <f>'新参数（美系）'!L25</f>
        <v>0</v>
      </c>
      <c r="H26" s="37">
        <f>'新参数（德系）'!K25</f>
        <v>0</v>
      </c>
      <c r="I26" s="37">
        <f>'新参数（苏系）'!I25</f>
        <v>0</v>
      </c>
      <c r="J26" s="37">
        <f>'新参数（日系）'!G25</f>
        <v>0</v>
      </c>
      <c r="K26" s="43" t="str">
        <f t="shared" si="1"/>
        <v>moveSpeedScale（移动速度系数）</v>
      </c>
      <c r="L26" s="37">
        <f>'新参数（美系）'!E25</f>
        <v>0.906614003094336</v>
      </c>
      <c r="M26" s="37">
        <f>'新参数（德系）'!D25</f>
        <v>0.917435610398121</v>
      </c>
      <c r="N26" s="37">
        <f>'新参数（苏系）'!D25</f>
        <v>0.915172837652197</v>
      </c>
      <c r="O26" s="37">
        <f>'新参数（日系）'!D25</f>
        <v>0.911557791894244</v>
      </c>
      <c r="P26" s="43" t="s">
        <v>48</v>
      </c>
      <c r="Q26" s="37">
        <f>'新参数（美系）'!C25</f>
        <v>0.942028768263525</v>
      </c>
      <c r="R26" s="37">
        <f>'新参数（德系）'!G25</f>
        <v>0.902854287302947</v>
      </c>
      <c r="S26" s="43" t="str">
        <f t="shared" si="0"/>
        <v>moveSpeedScale（移动速度系数）</v>
      </c>
      <c r="T26" s="37">
        <f>'新参数（美系）'!H25</f>
        <v>0.872910732064276</v>
      </c>
      <c r="U26" s="37">
        <f>'新参数（德系）'!I25</f>
        <v>0.904872052675398</v>
      </c>
      <c r="V26" s="43" t="s">
        <v>48</v>
      </c>
      <c r="W26" s="37">
        <f>'新参数（美系）'!I25</f>
        <v>0.84429515351053</v>
      </c>
      <c r="X26" s="37">
        <f>'新参数（德系）'!F25</f>
        <v>0.857968564195623</v>
      </c>
      <c r="Y26" s="37">
        <f>'新参数（苏系）'!F25</f>
        <v>0.858432961437457</v>
      </c>
      <c r="Z26" s="37">
        <f>'新参数（日系）'!F25</f>
        <v>0.863844189312769</v>
      </c>
      <c r="AA26" s="43" t="s">
        <v>48</v>
      </c>
      <c r="AB26" s="37">
        <f>'新参数（美系）'!D25</f>
        <v>0.90101652907673</v>
      </c>
      <c r="AC26" s="37">
        <f>'新参数（德系）'!H25</f>
        <v>0.911557791894244</v>
      </c>
      <c r="AD26" s="37">
        <f>'新参数（苏系）'!G25</f>
        <v>0.917004043204671</v>
      </c>
      <c r="AE26" s="43" t="s">
        <v>48</v>
      </c>
      <c r="AJ26" s="43" t="s">
        <v>48</v>
      </c>
    </row>
    <row r="27" s="37" customFormat="1" ht="50.1" customHeight="1" spans="1:36">
      <c r="A27" s="43" t="str">
        <f>'新参数（美系）'!B26</f>
        <v>asdMoveSpeedScale
（瞄准移动速度系数）</v>
      </c>
      <c r="B27" s="37">
        <f>'新参数（美系）'!F26</f>
        <v>0.78840299247174</v>
      </c>
      <c r="C27" s="37">
        <f>'新参数（德系）'!C26</f>
        <v>0.786692449807168</v>
      </c>
      <c r="D27" s="37">
        <f>'新参数（苏系）'!C26</f>
        <v>0.787753032403503</v>
      </c>
      <c r="E27" s="37">
        <f>'新参数（日系）'!C26</f>
        <v>0.78996139024538</v>
      </c>
      <c r="F27" s="43" t="s">
        <v>49</v>
      </c>
      <c r="G27" s="37">
        <f>'新参数（美系）'!L26</f>
        <v>0</v>
      </c>
      <c r="H27" s="37">
        <f>'新参数（德系）'!K26</f>
        <v>0</v>
      </c>
      <c r="I27" s="37">
        <f>'新参数（苏系）'!I26</f>
        <v>0</v>
      </c>
      <c r="J27" s="37">
        <f>'新参数（日系）'!G26</f>
        <v>0</v>
      </c>
      <c r="K27" s="43" t="str">
        <f t="shared" si="1"/>
        <v>asdMoveSpeedScale
（瞄准移动速度系数）</v>
      </c>
      <c r="L27" s="37">
        <f>'新参数（美系）'!E26</f>
        <v>0.779960502320752</v>
      </c>
      <c r="M27" s="37">
        <f>'新参数（德系）'!D26</f>
        <v>0.788076707798591</v>
      </c>
      <c r="N27" s="37">
        <f>'新参数（苏系）'!D26</f>
        <v>0.786379628239148</v>
      </c>
      <c r="O27" s="37">
        <f>'新参数（日系）'!D26</f>
        <v>0.783668343920683</v>
      </c>
      <c r="P27" s="43" t="s">
        <v>49</v>
      </c>
      <c r="Q27" s="37">
        <f>'新参数（美系）'!C26</f>
        <v>0.806521576197644</v>
      </c>
      <c r="R27" s="37">
        <f>'新参数（德系）'!G26</f>
        <v>0.77714071547721</v>
      </c>
      <c r="S27" s="43" t="str">
        <f t="shared" si="0"/>
        <v>asdMoveSpeedScale
（瞄准移动速度系数）</v>
      </c>
      <c r="T27" s="37">
        <f>'新参数（美系）'!H26</f>
        <v>0.754683049048207</v>
      </c>
      <c r="U27" s="37">
        <f>'新参数（德系）'!I26</f>
        <v>0.778654039506549</v>
      </c>
      <c r="V27" s="43" t="s">
        <v>49</v>
      </c>
      <c r="W27" s="37">
        <f>'新参数（美系）'!I26</f>
        <v>0.733221365132897</v>
      </c>
      <c r="X27" s="37">
        <f>'新参数（德系）'!F26</f>
        <v>0.743476423146717</v>
      </c>
      <c r="Y27" s="37">
        <f>'新参数（苏系）'!F26</f>
        <v>0.743824721078093</v>
      </c>
      <c r="Z27" s="37">
        <f>'新参数（日系）'!F26</f>
        <v>0.747883141984577</v>
      </c>
      <c r="AA27" s="43" t="s">
        <v>49</v>
      </c>
      <c r="AB27" s="37">
        <f>'新参数（美系）'!D26</f>
        <v>0.775762396807547</v>
      </c>
      <c r="AC27" s="37">
        <f>'新参数（德系）'!H26</f>
        <v>0.783668343920683</v>
      </c>
      <c r="AD27" s="37">
        <f>'新参数（苏系）'!G26</f>
        <v>0.787753032403503</v>
      </c>
      <c r="AE27" s="43" t="s">
        <v>49</v>
      </c>
      <c r="AJ27" s="43" t="s">
        <v>49</v>
      </c>
    </row>
    <row r="28" s="37" customFormat="1" ht="50.1" customHeight="1" spans="1:36">
      <c r="A28" s="43" t="str">
        <f>'新参数（美系）'!B27</f>
        <v>sprintDurationScale
（冲刺时间系数）</v>
      </c>
      <c r="B28" s="37">
        <f>'新参数（美系）'!F27</f>
        <v>1.60600110927131</v>
      </c>
      <c r="C28" s="37">
        <f>'新参数（德系）'!C27</f>
        <v>1.59000074500885</v>
      </c>
      <c r="D28" s="37">
        <f>'新参数（苏系）'!C27</f>
        <v>1.60000095367432</v>
      </c>
      <c r="E28" s="37">
        <f>'新参数（日系）'!C27</f>
        <v>1.62000159281022</v>
      </c>
      <c r="F28" s="43" t="s">
        <v>50</v>
      </c>
      <c r="G28" s="37">
        <f>'新参数（美系）'!L27</f>
        <v>0</v>
      </c>
      <c r="H28" s="37">
        <f>'新参数（德系）'!K27</f>
        <v>0</v>
      </c>
      <c r="I28" s="37">
        <f>'新参数（苏系）'!I27</f>
        <v>0</v>
      </c>
      <c r="J28" s="37">
        <f>'新参数（日系）'!G27</f>
        <v>0</v>
      </c>
      <c r="K28" s="43" t="str">
        <f t="shared" si="1"/>
        <v>sprintDurationScale
（冲刺时间系数）</v>
      </c>
      <c r="L28" s="37">
        <f>'新参数（美系）'!E27</f>
        <v>1.52000015402373</v>
      </c>
      <c r="M28" s="37">
        <f>'新参数（德系）'!D27</f>
        <v>1.60300102824104</v>
      </c>
      <c r="N28" s="37">
        <f>'新参数（苏系）'!D27</f>
        <v>1.58700069262711</v>
      </c>
      <c r="O28" s="37">
        <f>'新参数（日系）'!D27</f>
        <v>1.56000036768273</v>
      </c>
      <c r="P28" s="43" t="s">
        <v>50</v>
      </c>
      <c r="Q28" s="37">
        <f>'新参数（美系）'!C27</f>
        <v>1.74007083803739</v>
      </c>
      <c r="R28" s="37">
        <f>'新参数（德系）'!G27</f>
        <v>1.48700007921845</v>
      </c>
      <c r="S28" s="43" t="str">
        <f t="shared" si="0"/>
        <v>sprintDurationScale
（冲刺时间系数）</v>
      </c>
      <c r="T28" s="37">
        <f>'新参数（美系）'!H27</f>
        <v>1.12000000035907</v>
      </c>
      <c r="U28" s="37">
        <f>'新参数（德系）'!I27</f>
        <v>1.50500011322648</v>
      </c>
      <c r="V28" s="43" t="s">
        <v>50</v>
      </c>
      <c r="W28" s="37">
        <f>'新参数（美系）'!I27</f>
        <v>0.500000000001734</v>
      </c>
      <c r="X28" s="37">
        <f>'新参数（德系）'!F27</f>
        <v>0.840000000022668</v>
      </c>
      <c r="Y28" s="37">
        <f>'新参数（苏系）'!F27</f>
        <v>0.850000000024719</v>
      </c>
      <c r="Z28" s="37">
        <f>'新参数（日系）'!F27</f>
        <v>0.960000000067556</v>
      </c>
      <c r="AA28" s="43" t="s">
        <v>50</v>
      </c>
      <c r="AB28" s="37">
        <f>'新参数（美系）'!D27</f>
        <v>1.47000005717963</v>
      </c>
      <c r="AC28" s="37">
        <f>'新参数（德系）'!H27</f>
        <v>1.56000036768273</v>
      </c>
      <c r="AD28" s="37">
        <f>'新参数（苏系）'!G27</f>
        <v>1.60000095367432</v>
      </c>
      <c r="AE28" s="43" t="s">
        <v>50</v>
      </c>
      <c r="AJ28" s="43" t="s">
        <v>50</v>
      </c>
    </row>
    <row r="29" s="37" customFormat="1" ht="50.1" customHeight="1" spans="1:36">
      <c r="A29" s="43" t="str">
        <f>'新参数（美系）'!B28</f>
        <v>Trans In（进入瞄准耗时）</v>
      </c>
      <c r="B29" s="37">
        <f>'新参数（美系）'!F28</f>
        <v>0.270054685505925</v>
      </c>
      <c r="C29" s="37">
        <f>'新参数（德系）'!C28</f>
        <v>0.272888288288288</v>
      </c>
      <c r="D29" s="37">
        <f>'新参数（苏系）'!C28</f>
        <v>0.280162857142857</v>
      </c>
      <c r="E29" s="37">
        <f>'新参数（日系）'!C28</f>
        <v>0.269715241502683</v>
      </c>
      <c r="F29" s="43" t="s">
        <v>51</v>
      </c>
      <c r="G29" s="37">
        <f>'新参数（美系）'!L28</f>
        <v>0</v>
      </c>
      <c r="H29" s="37">
        <f>'新参数（德系）'!K28</f>
        <v>0</v>
      </c>
      <c r="I29" s="37">
        <f>'新参数（苏系）'!I28</f>
        <v>0</v>
      </c>
      <c r="J29" s="37">
        <f>'新参数（日系）'!G28</f>
        <v>0</v>
      </c>
      <c r="K29" s="43" t="str">
        <f t="shared" si="1"/>
        <v>Trans In（进入瞄准耗时）</v>
      </c>
      <c r="L29" s="37">
        <f>'新参数（美系）'!E28</f>
        <v>0.270581481481482</v>
      </c>
      <c r="M29" s="37">
        <f>'新参数（德系）'!D28</f>
        <v>0.257161212484994</v>
      </c>
      <c r="N29" s="37">
        <f>'新参数（苏系）'!D28</f>
        <v>0.260093582443654</v>
      </c>
      <c r="O29" s="37">
        <f>'新参数（日系）'!D28</f>
        <v>0.266222222222222</v>
      </c>
      <c r="P29" s="43" t="s">
        <v>51</v>
      </c>
      <c r="Q29" s="37">
        <f>'新参数（美系）'!C28</f>
        <v>0.238722222222222</v>
      </c>
      <c r="R29" s="37">
        <f>'新参数（德系）'!G28</f>
        <v>0.278439893617021</v>
      </c>
      <c r="S29" s="43" t="str">
        <f t="shared" si="0"/>
        <v>Trans In（进入瞄准耗时）</v>
      </c>
      <c r="T29" s="37">
        <f>'新参数（美系）'!H28</f>
        <v>0.333238477366255</v>
      </c>
      <c r="U29" s="37">
        <f>'新参数（德系）'!I28</f>
        <v>0.277057692307692</v>
      </c>
      <c r="V29" s="43" t="s">
        <v>51</v>
      </c>
      <c r="W29" s="37">
        <f>'新参数（美系）'!I28</f>
        <v>0.419992282157676</v>
      </c>
      <c r="X29" s="37">
        <f>'新参数（德系）'!F28</f>
        <v>0.364937704918033</v>
      </c>
      <c r="Y29" s="37">
        <f>'新参数（苏系）'!F28</f>
        <v>0.364207874015748</v>
      </c>
      <c r="Z29" s="37">
        <f>'新参数（日系）'!F28</f>
        <v>0.35099382726503</v>
      </c>
      <c r="AA29" s="43" t="s">
        <v>51</v>
      </c>
      <c r="AB29" s="37">
        <f>'新参数（美系）'!D28</f>
        <v>0.28725</v>
      </c>
      <c r="AC29" s="37">
        <f>'新参数（德系）'!H28</f>
        <v>0.27783982300885</v>
      </c>
      <c r="AD29" s="37">
        <f>'新参数（苏系）'!G28</f>
        <v>0.279721337683524</v>
      </c>
      <c r="AE29" s="43" t="s">
        <v>51</v>
      </c>
      <c r="AJ29" s="43" t="s">
        <v>51</v>
      </c>
    </row>
    <row r="30" s="37" customFormat="1" ht="50.1" customHeight="1" spans="1:36">
      <c r="A30" s="43" t="str">
        <f>'新参数（美系）'!B29</f>
        <v>Trans Out（取消瞄准耗时）</v>
      </c>
      <c r="B30" s="37">
        <f>'新参数（美系）'!F29</f>
        <v>0.202541014129444</v>
      </c>
      <c r="C30" s="37">
        <f>'新参数（德系）'!C29</f>
        <v>0.204666216216216</v>
      </c>
      <c r="D30" s="37">
        <f>'新参数（苏系）'!C29</f>
        <v>0.210122142857143</v>
      </c>
      <c r="E30" s="37">
        <f>'新参数（日系）'!C29</f>
        <v>0.202286431127012</v>
      </c>
      <c r="F30" s="43" t="s">
        <v>52</v>
      </c>
      <c r="G30" s="37">
        <f>'新参数（美系）'!L29</f>
        <v>0</v>
      </c>
      <c r="H30" s="37">
        <f>'新参数（德系）'!K29</f>
        <v>0</v>
      </c>
      <c r="I30" s="37">
        <f>'新参数（苏系）'!I29</f>
        <v>0</v>
      </c>
      <c r="J30" s="37">
        <f>'新参数（日系）'!G29</f>
        <v>0</v>
      </c>
      <c r="K30" s="43" t="str">
        <f t="shared" si="1"/>
        <v>Trans Out（取消瞄准耗时）</v>
      </c>
      <c r="L30" s="37">
        <f>'新参数（美系）'!E29</f>
        <v>0.202936111111111</v>
      </c>
      <c r="M30" s="37">
        <f>'新参数（德系）'!D29</f>
        <v>0.192870909363746</v>
      </c>
      <c r="N30" s="37">
        <f>'新参数（苏系）'!D29</f>
        <v>0.19507018683274</v>
      </c>
      <c r="O30" s="37">
        <f>'新参数（日系）'!D29</f>
        <v>0.199666666666667</v>
      </c>
      <c r="P30" s="43" t="s">
        <v>52</v>
      </c>
      <c r="Q30" s="37">
        <f>'新参数（美系）'!C29</f>
        <v>0.179041666666667</v>
      </c>
      <c r="R30" s="37">
        <f>'新参数（德系）'!G29</f>
        <v>0.208829920212766</v>
      </c>
      <c r="S30" s="43" t="str">
        <f t="shared" si="0"/>
        <v>Trans Out（取消瞄准耗时）</v>
      </c>
      <c r="T30" s="37">
        <f>'新参数（美系）'!H29</f>
        <v>0.249928858024691</v>
      </c>
      <c r="U30" s="37">
        <f>'新参数（德系）'!I29</f>
        <v>0.207793269230769</v>
      </c>
      <c r="V30" s="43" t="s">
        <v>52</v>
      </c>
      <c r="W30" s="37">
        <f>'新参数（美系）'!I29</f>
        <v>0.314994211618257</v>
      </c>
      <c r="X30" s="37">
        <f>'新参数（德系）'!F29</f>
        <v>0.273703278688525</v>
      </c>
      <c r="Y30" s="37">
        <f>'新参数（苏系）'!F29</f>
        <v>0.273155905511811</v>
      </c>
      <c r="Z30" s="37">
        <f>'新参数（日系）'!F29</f>
        <v>0.263245370448772</v>
      </c>
      <c r="AA30" s="43" t="s">
        <v>52</v>
      </c>
      <c r="AB30" s="37">
        <f>'新参数（美系）'!D29</f>
        <v>0.2154375</v>
      </c>
      <c r="AC30" s="37">
        <f>'新参数（德系）'!H29</f>
        <v>0.208379867256638</v>
      </c>
      <c r="AD30" s="37">
        <f>'新参数（苏系）'!G29</f>
        <v>0.209791003262643</v>
      </c>
      <c r="AE30" s="43" t="s">
        <v>52</v>
      </c>
      <c r="AJ30" s="43" t="s">
        <v>52</v>
      </c>
    </row>
    <row r="31" s="36" customFormat="1" ht="50.1" customHeight="1" spans="1:36">
      <c r="A31" s="42" t="str">
        <f>'新参数（美系）'!B30</f>
        <v>Idle Hip（最大摇晃角度）</v>
      </c>
      <c r="B31" s="36">
        <f>'新参数（美系）'!F30</f>
        <v>216.04374840474</v>
      </c>
      <c r="C31" s="36">
        <f>'新参数（德系）'!C30</f>
        <v>218.31063063063</v>
      </c>
      <c r="D31" s="36">
        <f>'新参数（苏系）'!C30</f>
        <v>224.130285714286</v>
      </c>
      <c r="E31" s="36">
        <f>'新参数（日系）'!C30</f>
        <v>215.772193202146</v>
      </c>
      <c r="F31" s="42" t="s">
        <v>53</v>
      </c>
      <c r="G31" s="36">
        <f>'新参数（美系）'!L30</f>
        <v>0</v>
      </c>
      <c r="H31" s="36">
        <f>'新参数（德系）'!K30</f>
        <v>0</v>
      </c>
      <c r="I31" s="36">
        <f>'新参数（苏系）'!I30</f>
        <v>0</v>
      </c>
      <c r="J31" s="36">
        <f>'新参数（日系）'!G30</f>
        <v>0</v>
      </c>
      <c r="K31" s="42" t="str">
        <f t="shared" si="1"/>
        <v>Idle Hip（最大摇晃角度）</v>
      </c>
      <c r="L31" s="36">
        <f>'新参数（美系）'!E30</f>
        <v>216.465185185186</v>
      </c>
      <c r="M31" s="36">
        <f>'新参数（德系）'!D30</f>
        <v>205.728969987995</v>
      </c>
      <c r="N31" s="36">
        <f>'新参数（苏系）'!D30</f>
        <v>208.074865954923</v>
      </c>
      <c r="O31" s="36">
        <f>'新参数（日系）'!D30</f>
        <v>212.977777777778</v>
      </c>
      <c r="P31" s="42" t="s">
        <v>53</v>
      </c>
      <c r="Q31" s="36">
        <f>'新参数（美系）'!C30</f>
        <v>190.977777777778</v>
      </c>
      <c r="R31" s="36">
        <f>'新参数（德系）'!G30</f>
        <v>222.751914893617</v>
      </c>
      <c r="S31" s="42" t="str">
        <f t="shared" si="0"/>
        <v>Idle Hip（最大摇晃角度）</v>
      </c>
      <c r="T31" s="36">
        <f>'新参数（美系）'!H30</f>
        <v>266.590781893004</v>
      </c>
      <c r="U31" s="36">
        <f>'新参数（德系）'!I30</f>
        <v>221.646153846154</v>
      </c>
      <c r="V31" s="42" t="s">
        <v>53</v>
      </c>
      <c r="W31" s="36">
        <f>'新参数（美系）'!I30</f>
        <v>335.993825726141</v>
      </c>
      <c r="X31" s="36">
        <f>'新参数（德系）'!F30</f>
        <v>291.950163934426</v>
      </c>
      <c r="Y31" s="36">
        <f>'新参数（苏系）'!F30</f>
        <v>291.366299212598</v>
      </c>
      <c r="Z31" s="36">
        <f>'新参数（日系）'!F30</f>
        <v>280.795061812024</v>
      </c>
      <c r="AA31" s="42" t="s">
        <v>53</v>
      </c>
      <c r="AB31" s="36">
        <f>'新参数（美系）'!D30</f>
        <v>229.8</v>
      </c>
      <c r="AC31" s="36">
        <f>'新参数（德系）'!H30</f>
        <v>222.27185840708</v>
      </c>
      <c r="AD31" s="36">
        <f>'新参数（苏系）'!G30</f>
        <v>223.777070146819</v>
      </c>
      <c r="AE31" s="42" t="s">
        <v>53</v>
      </c>
      <c r="AJ31" s="42" t="s">
        <v>53</v>
      </c>
    </row>
    <row r="32" s="38" customFormat="1" ht="50.1" customHeight="1" spans="1:40">
      <c r="A32" s="44" t="str">
        <f>'新参数（美系）'!B31</f>
        <v>Idle Hip Speed（最大摇晃速度）</v>
      </c>
      <c r="B32" s="38">
        <f>'新参数（美系）'!F31</f>
        <v>1.40888016670259</v>
      </c>
      <c r="C32" s="38">
        <f>'新参数（德系）'!C31</f>
        <v>1.42297072110836</v>
      </c>
      <c r="D32" s="38">
        <f>'新参数（苏系）'!C31</f>
        <v>1.4142135623731</v>
      </c>
      <c r="E32" s="38">
        <f>'新参数（日系）'!C31</f>
        <v>1.39619442376833</v>
      </c>
      <c r="F32" s="44" t="s">
        <v>54</v>
      </c>
      <c r="G32" s="38">
        <f>'新参数（美系）'!L31</f>
        <v>0</v>
      </c>
      <c r="H32" s="38">
        <f>'新参数（德系）'!K31</f>
        <v>0</v>
      </c>
      <c r="I32" s="38">
        <f>'新参数（苏系）'!I31</f>
        <v>0</v>
      </c>
      <c r="J32" s="38">
        <f>'新参数（日系）'!G31</f>
        <v>0</v>
      </c>
      <c r="K32" s="44" t="str">
        <f t="shared" si="1"/>
        <v>Idle Hip Speed（最大摇晃速度）</v>
      </c>
      <c r="L32" s="38">
        <f>'新参数（美系）'!E31</f>
        <v>1.48016560898457</v>
      </c>
      <c r="M32" s="38">
        <f>'新参数（德系）'!D31</f>
        <v>1.41155442137989</v>
      </c>
      <c r="N32" s="38">
        <f>'新参数（苏系）'!D31</f>
        <v>1.42556660429815</v>
      </c>
      <c r="O32" s="38">
        <f>'新参数（日系）'!D31</f>
        <v>1.44831546851517</v>
      </c>
      <c r="P32" s="44" t="s">
        <v>54</v>
      </c>
      <c r="Q32" s="38">
        <f>'新参数（美系）'!C31</f>
        <v>1.26982343247387</v>
      </c>
      <c r="R32" s="38">
        <f>'新参数（德系）'!G31</f>
        <v>1.50497519267968</v>
      </c>
      <c r="S32" s="44" t="str">
        <f t="shared" si="0"/>
        <v>Idle Hip Speed（最大摇晃速度）</v>
      </c>
      <c r="T32" s="38">
        <f>'新参数（美系）'!H31</f>
        <v>1.72234705992673</v>
      </c>
      <c r="U32" s="38">
        <f>'新参数（德系）'!I31</f>
        <v>1.49159630802999</v>
      </c>
      <c r="V32" s="44" t="s">
        <v>54</v>
      </c>
      <c r="W32" s="38">
        <f>'新参数（美系）'!I31</f>
        <v>1.96798967126543</v>
      </c>
      <c r="X32" s="38">
        <f>'新参数（德系）'!F31</f>
        <v>1.8455019027856</v>
      </c>
      <c r="Y32" s="38">
        <f>'新参数（苏系）'!F31</f>
        <v>1.84151160505782</v>
      </c>
      <c r="Z32" s="38">
        <f>'新参数（日系）'!F31</f>
        <v>1.7958015200237</v>
      </c>
      <c r="AA32" s="44" t="s">
        <v>54</v>
      </c>
      <c r="AB32" s="38">
        <f>'新参数（美系）'!D31</f>
        <v>1.51729129920535</v>
      </c>
      <c r="AC32" s="38">
        <f>'新参数（德系）'!H31</f>
        <v>1.44831546851517</v>
      </c>
      <c r="AD32" s="38">
        <f>'新参数（苏系）'!G31</f>
        <v>1.4142135623731</v>
      </c>
      <c r="AE32" s="44" t="s">
        <v>54</v>
      </c>
      <c r="AJ32" s="44" t="s">
        <v>54</v>
      </c>
      <c r="AK32" s="46"/>
      <c r="AL32" s="46"/>
      <c r="AM32" s="46"/>
      <c r="AN32" s="46"/>
    </row>
    <row r="33" s="36" customFormat="1" ht="50.1" customHeight="1" spans="1:36">
      <c r="A33" s="42" t="str">
        <f>'新参数（美系）'!B32</f>
        <v>Idel ADS
（瞄准时的最大摇晃角度）</v>
      </c>
      <c r="B33" s="36">
        <f>'新参数（美系）'!F32</f>
        <v>194.439373564266</v>
      </c>
      <c r="C33" s="36">
        <f>'新参数（德系）'!C32</f>
        <v>196.479567567567</v>
      </c>
      <c r="D33" s="36">
        <f>'新参数（苏系）'!C32</f>
        <v>201.717257142857</v>
      </c>
      <c r="E33" s="36">
        <f>'新参数（日系）'!C32</f>
        <v>194.194973881932</v>
      </c>
      <c r="F33" s="42" t="s">
        <v>55</v>
      </c>
      <c r="G33" s="36">
        <f>'新参数（美系）'!L32</f>
        <v>0</v>
      </c>
      <c r="H33" s="36">
        <f>'新参数（德系）'!K32</f>
        <v>0</v>
      </c>
      <c r="I33" s="36">
        <f>'新参数（苏系）'!I32</f>
        <v>0</v>
      </c>
      <c r="J33" s="36">
        <f>'新参数（日系）'!G32</f>
        <v>0</v>
      </c>
      <c r="K33" s="42" t="str">
        <f t="shared" si="1"/>
        <v>Idel ADS
（瞄准时的最大摇晃角度）</v>
      </c>
      <c r="L33" s="36">
        <f>'新参数（美系）'!E32</f>
        <v>194.818666666667</v>
      </c>
      <c r="M33" s="36">
        <f>'新参数（德系）'!D32</f>
        <v>185.156072989196</v>
      </c>
      <c r="N33" s="36">
        <f>'新参数（苏系）'!D32</f>
        <v>187.267379359431</v>
      </c>
      <c r="O33" s="36">
        <f>'新参数（日系）'!D32</f>
        <v>191.68</v>
      </c>
      <c r="P33" s="42" t="s">
        <v>55</v>
      </c>
      <c r="Q33" s="36">
        <f>'新参数（美系）'!C32</f>
        <v>171.88</v>
      </c>
      <c r="R33" s="36">
        <f>'新参数（德系）'!G32</f>
        <v>200.476723404255</v>
      </c>
      <c r="S33" s="42" t="str">
        <f t="shared" si="0"/>
        <v>Idel ADS
（瞄准时的最大摇晃角度）</v>
      </c>
      <c r="T33" s="36">
        <f>'新参数（美系）'!H32</f>
        <v>239.931703703704</v>
      </c>
      <c r="U33" s="36">
        <f>'新参数（德系）'!I32</f>
        <v>199.481538461538</v>
      </c>
      <c r="V33" s="42" t="s">
        <v>55</v>
      </c>
      <c r="W33" s="36">
        <f>'新参数（美系）'!I32</f>
        <v>302.394443153527</v>
      </c>
      <c r="X33" s="36">
        <f>'新参数（德系）'!F32</f>
        <v>262.755147540984</v>
      </c>
      <c r="Y33" s="36">
        <f>'新参数（苏系）'!F32</f>
        <v>262.229669291339</v>
      </c>
      <c r="Z33" s="36">
        <f>'新参数（日系）'!F32</f>
        <v>252.715555630822</v>
      </c>
      <c r="AA33" s="42" t="s">
        <v>55</v>
      </c>
      <c r="AB33" s="36">
        <f>'新参数（美系）'!D32</f>
        <v>206.82</v>
      </c>
      <c r="AC33" s="36">
        <f>'新参数（德系）'!H32</f>
        <v>200.044672566372</v>
      </c>
      <c r="AD33" s="36">
        <f>'新参数（苏系）'!G32</f>
        <v>201.399363132137</v>
      </c>
      <c r="AE33" s="42" t="s">
        <v>55</v>
      </c>
      <c r="AJ33" s="42" t="s">
        <v>55</v>
      </c>
    </row>
    <row r="34" s="38" customFormat="1" ht="50.1" customHeight="1" spans="1:40">
      <c r="A34" s="44" t="str">
        <f>'新参数（美系）'!B33</f>
        <v>Idel ADS Speed
（瞄准时的最大摇晃速度）</v>
      </c>
      <c r="B34" s="38">
        <f>'新参数（美系）'!F33</f>
        <v>1.40888016670259</v>
      </c>
      <c r="C34" s="38">
        <f>'新参数（德系）'!C33</f>
        <v>1.42297072110836</v>
      </c>
      <c r="D34" s="38">
        <f>'新参数（苏系）'!C33</f>
        <v>1.4142135623731</v>
      </c>
      <c r="E34" s="38">
        <f>'新参数（日系）'!C33</f>
        <v>1.39619442376833</v>
      </c>
      <c r="F34" s="44" t="s">
        <v>56</v>
      </c>
      <c r="G34" s="38">
        <f>'新参数（美系）'!L33</f>
        <v>0</v>
      </c>
      <c r="H34" s="38">
        <f>'新参数（德系）'!K33</f>
        <v>0</v>
      </c>
      <c r="I34" s="38">
        <f>'新参数（苏系）'!I33</f>
        <v>0</v>
      </c>
      <c r="J34" s="38">
        <f>'新参数（日系）'!G33</f>
        <v>0</v>
      </c>
      <c r="K34" s="44" t="str">
        <f t="shared" si="1"/>
        <v>Idel ADS Speed
（瞄准时的最大摇晃速度）</v>
      </c>
      <c r="L34" s="38">
        <f>'新参数（美系）'!E33</f>
        <v>1.48016560898457</v>
      </c>
      <c r="M34" s="38">
        <f>'新参数（德系）'!D33</f>
        <v>1.41155442137989</v>
      </c>
      <c r="N34" s="38">
        <f>'新参数（苏系）'!D33</f>
        <v>1.42556660429815</v>
      </c>
      <c r="O34" s="38">
        <f>'新参数（日系）'!D33</f>
        <v>1.44831546851517</v>
      </c>
      <c r="P34" s="44" t="s">
        <v>56</v>
      </c>
      <c r="Q34" s="38">
        <f>'新参数（美系）'!C33</f>
        <v>1.26982343247387</v>
      </c>
      <c r="R34" s="38">
        <f>'新参数（德系）'!G33</f>
        <v>1.50497519267968</v>
      </c>
      <c r="S34" s="44" t="str">
        <f t="shared" si="0"/>
        <v>Idel ADS Speed
（瞄准时的最大摇晃速度）</v>
      </c>
      <c r="T34" s="38">
        <f>'新参数（美系）'!H33</f>
        <v>1.72234705992673</v>
      </c>
      <c r="U34" s="38">
        <f>'新参数（德系）'!I33</f>
        <v>1.49159630802999</v>
      </c>
      <c r="V34" s="44" t="s">
        <v>56</v>
      </c>
      <c r="W34" s="38">
        <f>'新参数（美系）'!I33</f>
        <v>1.96798967126543</v>
      </c>
      <c r="X34" s="38">
        <f>'新参数（德系）'!F33</f>
        <v>1.8455019027856</v>
      </c>
      <c r="Y34" s="38">
        <f>'新参数（苏系）'!F33</f>
        <v>1.84151160505782</v>
      </c>
      <c r="Z34" s="38">
        <f>'新参数（日系）'!F33</f>
        <v>1.7958015200237</v>
      </c>
      <c r="AA34" s="44" t="s">
        <v>56</v>
      </c>
      <c r="AB34" s="38">
        <f>'新参数（美系）'!D33</f>
        <v>1.51729129920535</v>
      </c>
      <c r="AC34" s="38">
        <f>'新参数（德系）'!H33</f>
        <v>1.44831546851517</v>
      </c>
      <c r="AD34" s="38">
        <f>'新参数（苏系）'!G33</f>
        <v>1.4142135623731</v>
      </c>
      <c r="AE34" s="44" t="s">
        <v>56</v>
      </c>
      <c r="AJ34" s="44" t="s">
        <v>56</v>
      </c>
      <c r="AK34" s="46"/>
      <c r="AL34" s="46"/>
      <c r="AM34" s="46"/>
      <c r="AN34" s="46"/>
    </row>
    <row r="35" ht="50.1" customHeight="1" spans="1:40">
      <c r="A35" s="40" t="str">
        <f>'新参数（美系）'!B34</f>
        <v>Crouch Factor（蹲下摇晃系数）</v>
      </c>
      <c r="B35" s="41">
        <f>'新参数（美系）'!F34</f>
        <v>0.5</v>
      </c>
      <c r="C35" s="41">
        <f>'新参数（德系）'!C34</f>
        <v>0.5</v>
      </c>
      <c r="D35" s="41">
        <f>'新参数（苏系）'!C34</f>
        <v>0.5</v>
      </c>
      <c r="E35" s="41">
        <f>'新参数（日系）'!C34</f>
        <v>0.5</v>
      </c>
      <c r="F35" s="40" t="s">
        <v>57</v>
      </c>
      <c r="G35" s="41">
        <f>'新参数（美系）'!L34</f>
        <v>0</v>
      </c>
      <c r="H35" s="41">
        <f>'新参数（德系）'!K34</f>
        <v>0</v>
      </c>
      <c r="I35" s="41">
        <f>'新参数（苏系）'!I34</f>
        <v>0</v>
      </c>
      <c r="J35" s="41">
        <f>'新参数（日系）'!G34</f>
        <v>0</v>
      </c>
      <c r="K35" s="40" t="str">
        <f t="shared" si="1"/>
        <v>Crouch Factor（蹲下摇晃系数）</v>
      </c>
      <c r="L35" s="41">
        <f>'新参数（美系）'!E34</f>
        <v>0.5</v>
      </c>
      <c r="M35" s="41">
        <f>'新参数（德系）'!D34</f>
        <v>0.5</v>
      </c>
      <c r="N35" s="41">
        <f>'新参数（苏系）'!D34</f>
        <v>0.5</v>
      </c>
      <c r="O35" s="41">
        <f>'新参数（日系）'!D34</f>
        <v>0.5</v>
      </c>
      <c r="P35" s="40" t="s">
        <v>57</v>
      </c>
      <c r="Q35" s="41">
        <f>'新参数（美系）'!C34</f>
        <v>0.5</v>
      </c>
      <c r="R35" s="41">
        <f>'新参数（德系）'!G34</f>
        <v>0.5</v>
      </c>
      <c r="S35" s="40" t="str">
        <f t="shared" si="0"/>
        <v>Crouch Factor（蹲下摇晃系数）</v>
      </c>
      <c r="T35" s="41">
        <f>'新参数（美系）'!H34</f>
        <v>0.5</v>
      </c>
      <c r="U35" s="41">
        <f>'新参数（德系）'!I34</f>
        <v>0.5</v>
      </c>
      <c r="V35" s="40" t="s">
        <v>57</v>
      </c>
      <c r="W35" s="41">
        <f>'新参数（美系）'!I34</f>
        <v>0.5</v>
      </c>
      <c r="X35" s="41">
        <f>'新参数（德系）'!F34</f>
        <v>0.5</v>
      </c>
      <c r="Y35" s="41">
        <f>'新参数（苏系）'!F34</f>
        <v>0.5</v>
      </c>
      <c r="Z35" s="41">
        <f>'新参数（日系）'!F34</f>
        <v>0.5</v>
      </c>
      <c r="AA35" s="40" t="s">
        <v>57</v>
      </c>
      <c r="AB35" s="41">
        <f>'新参数（美系）'!D34</f>
        <v>0.5</v>
      </c>
      <c r="AC35" s="41">
        <f>'新参数（德系）'!H34</f>
        <v>0.5</v>
      </c>
      <c r="AD35" s="41">
        <f>'新参数（苏系）'!G34</f>
        <v>0.5</v>
      </c>
      <c r="AE35" s="40" t="s">
        <v>57</v>
      </c>
      <c r="AJ35" s="40" t="s">
        <v>57</v>
      </c>
      <c r="AK35"/>
      <c r="AL35"/>
      <c r="AM35"/>
      <c r="AN35"/>
    </row>
    <row r="36" ht="50.1" customHeight="1" spans="1:40">
      <c r="A36" s="40" t="str">
        <f>'新参数（美系）'!B35</f>
        <v>Prone Factor（匍匐摇晃系数）</v>
      </c>
      <c r="B36" s="41">
        <f>'新参数（美系）'!F35</f>
        <v>0.1</v>
      </c>
      <c r="C36" s="41">
        <f>'新参数（德系）'!C35</f>
        <v>0.1</v>
      </c>
      <c r="D36" s="41">
        <f>'新参数（苏系）'!C35</f>
        <v>0.1</v>
      </c>
      <c r="E36" s="41">
        <f>'新参数（日系）'!C35</f>
        <v>0.1</v>
      </c>
      <c r="F36" s="40" t="s">
        <v>58</v>
      </c>
      <c r="G36" s="41">
        <f>'新参数（美系）'!L35</f>
        <v>0</v>
      </c>
      <c r="H36" s="41">
        <f>'新参数（德系）'!K35</f>
        <v>0</v>
      </c>
      <c r="I36" s="41">
        <f>'新参数（苏系）'!I35</f>
        <v>0</v>
      </c>
      <c r="J36" s="41">
        <f>'新参数（日系）'!G35</f>
        <v>0</v>
      </c>
      <c r="K36" s="40" t="str">
        <f t="shared" ref="K36:K77" si="2">A36</f>
        <v>Prone Factor（匍匐摇晃系数）</v>
      </c>
      <c r="L36" s="41">
        <f>'新参数（美系）'!E35</f>
        <v>0.1</v>
      </c>
      <c r="M36" s="41">
        <f>'新参数（德系）'!D35</f>
        <v>0.1</v>
      </c>
      <c r="N36" s="41">
        <f>'新参数（苏系）'!D35</f>
        <v>0.1</v>
      </c>
      <c r="O36" s="41">
        <f>'新参数（日系）'!D35</f>
        <v>0.1</v>
      </c>
      <c r="P36" s="40" t="s">
        <v>58</v>
      </c>
      <c r="Q36" s="41">
        <f>'新参数（美系）'!C35</f>
        <v>0.1</v>
      </c>
      <c r="R36" s="41">
        <f>'新参数（德系）'!G35</f>
        <v>0.1</v>
      </c>
      <c r="S36" s="40" t="str">
        <f t="shared" si="0"/>
        <v>Prone Factor（匍匐摇晃系数）</v>
      </c>
      <c r="T36" s="41">
        <f>'新参数（美系）'!H35</f>
        <v>0.1</v>
      </c>
      <c r="U36" s="41">
        <f>'新参数（德系）'!I35</f>
        <v>0.1</v>
      </c>
      <c r="V36" s="40" t="s">
        <v>58</v>
      </c>
      <c r="W36" s="41">
        <f>'新参数（美系）'!I35</f>
        <v>0.1</v>
      </c>
      <c r="X36" s="41">
        <f>'新参数（德系）'!F35</f>
        <v>0.1</v>
      </c>
      <c r="Y36" s="41">
        <f>'新参数（苏系）'!F35</f>
        <v>0.1</v>
      </c>
      <c r="Z36" s="41">
        <f>'新参数（日系）'!F35</f>
        <v>0.1</v>
      </c>
      <c r="AA36" s="40" t="s">
        <v>58</v>
      </c>
      <c r="AB36" s="41">
        <f>'新参数（美系）'!D35</f>
        <v>0.1</v>
      </c>
      <c r="AC36" s="41">
        <f>'新参数（德系）'!H35</f>
        <v>0.1</v>
      </c>
      <c r="AD36" s="41">
        <f>'新参数（苏系）'!G35</f>
        <v>0.1</v>
      </c>
      <c r="AE36" s="40" t="s">
        <v>58</v>
      </c>
      <c r="AJ36" s="40" t="s">
        <v>58</v>
      </c>
      <c r="AK36"/>
      <c r="AL36"/>
      <c r="AM36"/>
      <c r="AN36"/>
    </row>
    <row r="37" ht="50.1" customHeight="1" spans="1:40">
      <c r="A37" s="40" t="str">
        <f>'新参数（美系）'!B36</f>
        <v>Aim Pitch（瞄准中心修正量）</v>
      </c>
      <c r="B37" s="41">
        <f>'新参数（美系）'!F36</f>
        <v>0</v>
      </c>
      <c r="C37" s="41">
        <f>'新参数（德系）'!C36</f>
        <v>0</v>
      </c>
      <c r="D37" s="41">
        <f>'新参数（苏系）'!C36</f>
        <v>0</v>
      </c>
      <c r="E37" s="41">
        <f>'新参数（日系）'!C36</f>
        <v>0</v>
      </c>
      <c r="F37" s="40" t="s">
        <v>59</v>
      </c>
      <c r="G37" s="41">
        <f>'新参数（美系）'!L36</f>
        <v>0</v>
      </c>
      <c r="H37" s="41">
        <f>'新参数（德系）'!K36</f>
        <v>0</v>
      </c>
      <c r="I37" s="41">
        <f>'新参数（苏系）'!I36</f>
        <v>0</v>
      </c>
      <c r="J37" s="41">
        <f>'新参数（日系）'!G36</f>
        <v>0</v>
      </c>
      <c r="K37" s="40" t="str">
        <f t="shared" si="2"/>
        <v>Aim Pitch（瞄准中心修正量）</v>
      </c>
      <c r="L37" s="41">
        <f>'新参数（美系）'!E36</f>
        <v>0</v>
      </c>
      <c r="M37" s="41">
        <f>'新参数（德系）'!D36</f>
        <v>0</v>
      </c>
      <c r="N37" s="41">
        <f>'新参数（苏系）'!D36</f>
        <v>0</v>
      </c>
      <c r="O37" s="41">
        <f>'新参数（日系）'!D36</f>
        <v>0</v>
      </c>
      <c r="P37" s="40" t="s">
        <v>59</v>
      </c>
      <c r="Q37" s="41">
        <f>'新参数（美系）'!C36</f>
        <v>0</v>
      </c>
      <c r="R37" s="41">
        <f>'新参数（德系）'!G36</f>
        <v>0</v>
      </c>
      <c r="S37" s="40" t="str">
        <f t="shared" si="0"/>
        <v>Aim Pitch（瞄准中心修正量）</v>
      </c>
      <c r="T37" s="41">
        <f>'新参数（美系）'!H36</f>
        <v>0</v>
      </c>
      <c r="U37" s="41">
        <f>'新参数（德系）'!I36</f>
        <v>0</v>
      </c>
      <c r="V37" s="40" t="s">
        <v>59</v>
      </c>
      <c r="W37" s="41">
        <f>'新参数（美系）'!I36</f>
        <v>0</v>
      </c>
      <c r="X37" s="41">
        <f>'新参数（德系）'!F36</f>
        <v>0</v>
      </c>
      <c r="Y37" s="41">
        <f>'新参数（苏系）'!F36</f>
        <v>0</v>
      </c>
      <c r="Z37" s="41">
        <f>'新参数（日系）'!F36</f>
        <v>0</v>
      </c>
      <c r="AA37" s="40" t="s">
        <v>59</v>
      </c>
      <c r="AB37" s="41">
        <f>'新参数（美系）'!D36</f>
        <v>0</v>
      </c>
      <c r="AC37" s="41">
        <f>'新参数（德系）'!H36</f>
        <v>0</v>
      </c>
      <c r="AD37" s="41">
        <f>'新参数（苏系）'!G36</f>
        <v>0</v>
      </c>
      <c r="AE37" s="40" t="s">
        <v>59</v>
      </c>
      <c r="AJ37" s="40" t="s">
        <v>59</v>
      </c>
      <c r="AK37"/>
      <c r="AL37"/>
      <c r="AM37"/>
      <c r="AN37"/>
    </row>
    <row r="38" ht="50.1" customHeight="1" spans="1:40">
      <c r="A38" s="40" t="str">
        <f>'新参数（美系）'!B37</f>
        <v>Sprint speedScale
（冲刺动画速度系数）</v>
      </c>
      <c r="B38" s="41">
        <f>'新参数（美系）'!F37</f>
        <v>0.9</v>
      </c>
      <c r="C38" s="41">
        <f>'新参数（德系）'!C37</f>
        <v>0.9</v>
      </c>
      <c r="D38" s="41">
        <f>'新参数（苏系）'!C37</f>
        <v>0.9</v>
      </c>
      <c r="E38" s="41">
        <f>'新参数（日系）'!C37</f>
        <v>0.9</v>
      </c>
      <c r="F38" s="40" t="s">
        <v>60</v>
      </c>
      <c r="G38" s="41">
        <f>'新参数（美系）'!L37</f>
        <v>0</v>
      </c>
      <c r="H38" s="41">
        <f>'新参数（德系）'!K37</f>
        <v>0</v>
      </c>
      <c r="I38" s="41">
        <f>'新参数（苏系）'!I37</f>
        <v>0</v>
      </c>
      <c r="J38" s="41">
        <f>'新参数（日系）'!G37</f>
        <v>0</v>
      </c>
      <c r="K38" s="40" t="str">
        <f t="shared" si="2"/>
        <v>Sprint speedScale
（冲刺动画速度系数）</v>
      </c>
      <c r="L38" s="41">
        <f>'新参数（美系）'!E37</f>
        <v>0.9</v>
      </c>
      <c r="M38" s="41">
        <f>'新参数（德系）'!D37</f>
        <v>0.9</v>
      </c>
      <c r="N38" s="41">
        <f>'新参数（苏系）'!D37</f>
        <v>0.9</v>
      </c>
      <c r="O38" s="41">
        <f>'新参数（日系）'!D37</f>
        <v>0.9</v>
      </c>
      <c r="P38" s="40" t="s">
        <v>60</v>
      </c>
      <c r="Q38" s="41">
        <f>'新参数（美系）'!C37</f>
        <v>0.9</v>
      </c>
      <c r="R38" s="41">
        <f>'新参数（德系）'!G37</f>
        <v>0.9</v>
      </c>
      <c r="S38" s="40" t="str">
        <f t="shared" si="0"/>
        <v>Sprint speedScale
（冲刺动画速度系数）</v>
      </c>
      <c r="T38" s="41">
        <f>'新参数（美系）'!H37</f>
        <v>0.85</v>
      </c>
      <c r="U38" s="41">
        <f>'新参数（德系）'!I37</f>
        <v>0.9</v>
      </c>
      <c r="V38" s="40" t="s">
        <v>60</v>
      </c>
      <c r="W38" s="41">
        <f>'新参数（美系）'!I37</f>
        <v>0.85</v>
      </c>
      <c r="X38" s="41">
        <f>'新参数（德系）'!F37</f>
        <v>0.85</v>
      </c>
      <c r="Y38" s="41">
        <f>'新参数（苏系）'!F37</f>
        <v>0.85</v>
      </c>
      <c r="Z38" s="41">
        <f>'新参数（日系）'!F37</f>
        <v>0.85</v>
      </c>
      <c r="AA38" s="40" t="s">
        <v>60</v>
      </c>
      <c r="AB38" s="41">
        <f>'新参数（美系）'!D37</f>
        <v>0.9</v>
      </c>
      <c r="AC38" s="41">
        <f>'新参数（德系）'!H37</f>
        <v>0.9</v>
      </c>
      <c r="AD38" s="41">
        <f>'新参数（苏系）'!G37</f>
        <v>0.9</v>
      </c>
      <c r="AE38" s="40" t="s">
        <v>60</v>
      </c>
      <c r="AJ38" s="40" t="s">
        <v>60</v>
      </c>
      <c r="AK38"/>
      <c r="AL38"/>
      <c r="AM38"/>
      <c r="AN38"/>
    </row>
    <row r="39" s="39" customFormat="1" ht="50.1" customHeight="1" spans="1:40">
      <c r="A39" s="45" t="str">
        <f>'新参数（美系）'!B38</f>
        <v>adsSpread
（瞄准射击散步）（英寸）</v>
      </c>
      <c r="B39" s="39">
        <f>'新参数（美系）'!F38</f>
        <v>0.24948</v>
      </c>
      <c r="C39" s="39">
        <f>'新参数（德系）'!C38</f>
        <v>0.246078</v>
      </c>
      <c r="D39" s="39">
        <f>'新参数（苏系）'!C38</f>
        <v>0.250614</v>
      </c>
      <c r="E39" s="39">
        <f>'新参数（日系）'!C38</f>
        <v>0.25515</v>
      </c>
      <c r="F39" s="45" t="s">
        <v>62</v>
      </c>
      <c r="G39" s="39">
        <f>'新参数（美系）'!L38</f>
        <v>0</v>
      </c>
      <c r="H39" s="39">
        <f>'新参数（德系）'!K38</f>
        <v>0</v>
      </c>
      <c r="I39" s="39">
        <f>'新参数（苏系）'!I38</f>
        <v>0</v>
      </c>
      <c r="J39" s="39">
        <f>'新参数（日系）'!G38</f>
        <v>0</v>
      </c>
      <c r="K39" s="45" t="str">
        <f t="shared" si="2"/>
        <v>adsSpread
（瞄准射击散步）（英寸）</v>
      </c>
      <c r="L39" s="39">
        <f>'新参数（美系）'!E38</f>
        <v>1.9278</v>
      </c>
      <c r="M39" s="39">
        <f>'新参数（德系）'!D38</f>
        <v>2.0412</v>
      </c>
      <c r="N39" s="39">
        <f>'新参数（苏系）'!D38</f>
        <v>1.8144</v>
      </c>
      <c r="O39" s="39">
        <f>'新参数（日系）'!D38</f>
        <v>2.0412</v>
      </c>
      <c r="P39" s="45" t="s">
        <v>62</v>
      </c>
      <c r="Q39" s="39">
        <f>'新参数（美系）'!C38</f>
        <v>0.274428</v>
      </c>
      <c r="R39" s="39">
        <f>'新参数（德系）'!G38</f>
        <v>0.567</v>
      </c>
      <c r="S39" s="45" t="str">
        <f t="shared" si="0"/>
        <v>adsSpread
（瞄准射击散步）（英寸）</v>
      </c>
      <c r="T39" s="39">
        <f>'新参数（美系）'!H38</f>
        <v>0.4536</v>
      </c>
      <c r="U39" s="39">
        <f>'新参数（德系）'!I38</f>
        <v>0.5103</v>
      </c>
      <c r="V39" s="45" t="s">
        <v>62</v>
      </c>
      <c r="W39" s="39">
        <f>'新参数（美系）'!I38</f>
        <v>0.567</v>
      </c>
      <c r="X39" s="39">
        <f>'新参数（德系）'!F38</f>
        <v>0.567</v>
      </c>
      <c r="Y39" s="39">
        <f>'新参数（苏系）'!F38</f>
        <v>0.6804</v>
      </c>
      <c r="Z39" s="39">
        <f>'新参数（日系）'!F38</f>
        <v>0.6804</v>
      </c>
      <c r="AA39" s="45" t="s">
        <v>62</v>
      </c>
      <c r="AB39" s="39">
        <f>'新参数（美系）'!D38</f>
        <v>0.229068</v>
      </c>
      <c r="AC39" s="39">
        <f>'新参数（德系）'!H38</f>
        <v>0.274428</v>
      </c>
      <c r="AD39" s="39">
        <f>'新参数（苏系）'!G38</f>
        <v>0.274428</v>
      </c>
      <c r="AE39" s="45" t="s">
        <v>62</v>
      </c>
      <c r="AJ39" s="45" t="s">
        <v>62</v>
      </c>
      <c r="AK39" s="47"/>
      <c r="AL39" s="47"/>
      <c r="AM39" s="47"/>
      <c r="AN39" s="47"/>
    </row>
    <row r="40" s="37" customFormat="1" ht="50.1" customHeight="1" spans="1:36">
      <c r="A40" s="43" t="str">
        <f>'新参数（美系）'!B39</f>
        <v>hipSpreadStandMin
（站立扫射最小散步）（英寸）</v>
      </c>
      <c r="B40" s="37">
        <f>'新参数（美系）'!F39</f>
        <v>12.0522524142249</v>
      </c>
      <c r="C40" s="37">
        <f>'新参数（德系）'!C39</f>
        <v>12.1783791693822</v>
      </c>
      <c r="D40" s="37">
        <f>'新参数（苏系）'!C39</f>
        <v>12.5075735697128</v>
      </c>
      <c r="E40" s="37">
        <f>'新参数（日系）'!C39</f>
        <v>12.0392042881577</v>
      </c>
      <c r="F40" s="43" t="s">
        <v>63</v>
      </c>
      <c r="G40" s="37">
        <f>'新参数（美系）'!L39</f>
        <v>0</v>
      </c>
      <c r="H40" s="37">
        <f>'新参数（德系）'!K39</f>
        <v>0</v>
      </c>
      <c r="I40" s="37">
        <f>'新参数（苏系）'!I39</f>
        <v>0</v>
      </c>
      <c r="J40" s="37">
        <f>'新参数（日系）'!G39</f>
        <v>0</v>
      </c>
      <c r="K40" s="43" t="str">
        <f t="shared" si="2"/>
        <v>hipSpreadStandMin
（站立扫射最小散步）（英寸）</v>
      </c>
      <c r="L40" s="37">
        <f>'新参数（美系）'!E39</f>
        <v>12.1631985164436</v>
      </c>
      <c r="M40" s="37">
        <f>'新参数（德系）'!D39</f>
        <v>11.5600068643918</v>
      </c>
      <c r="N40" s="37">
        <f>'新参数（苏系）'!D39</f>
        <v>11.6904325503524</v>
      </c>
      <c r="O40" s="37">
        <f>'新参数（日系）'!D39</f>
        <v>11.9677523025671</v>
      </c>
      <c r="P40" s="43" t="s">
        <v>63</v>
      </c>
      <c r="Q40" s="37">
        <f>'新参数（美系）'!C39</f>
        <v>10.6514014240529</v>
      </c>
      <c r="R40" s="37">
        <f>'新参数（德系）'!G39</f>
        <v>12.4857035020076</v>
      </c>
      <c r="S40" s="43" t="str">
        <f t="shared" si="0"/>
        <v>hipSpreadStandMin
（站立扫射最小散步）（英寸）</v>
      </c>
      <c r="T40" s="37">
        <f>'新参数（美系）'!H39</f>
        <v>14.9406168430335</v>
      </c>
      <c r="U40" s="37">
        <f>'新参数（德系）'!I39</f>
        <v>12.4186053641146</v>
      </c>
      <c r="V40" s="43" t="s">
        <v>63</v>
      </c>
      <c r="W40" s="37">
        <f>'新参数（美系）'!I39</f>
        <v>18.855560986337</v>
      </c>
      <c r="X40" s="37">
        <f>'新参数（德系）'!F39</f>
        <v>16.3781050105531</v>
      </c>
      <c r="Y40" s="37">
        <f>'新参数（苏系）'!F39</f>
        <v>16.35261123841</v>
      </c>
      <c r="Z40" s="37">
        <f>'新参数（日系）'!F39</f>
        <v>15.7579791346277</v>
      </c>
      <c r="AA40" s="43" t="s">
        <v>63</v>
      </c>
      <c r="AB40" s="37">
        <f>'新参数（美系）'!D39</f>
        <v>12.8171121020832</v>
      </c>
      <c r="AC40" s="37">
        <f>'新参数（德系）'!H39</f>
        <v>12.4116934594512</v>
      </c>
      <c r="AD40" s="37">
        <f>'新参数（苏系）'!G39</f>
        <v>12.4963616198115</v>
      </c>
      <c r="AE40" s="43" t="s">
        <v>63</v>
      </c>
      <c r="AJ40" s="43" t="s">
        <v>63</v>
      </c>
    </row>
    <row r="41" s="37" customFormat="1" ht="50.1" customHeight="1" spans="1:36">
      <c r="A41" s="43" t="str">
        <f>'新参数（美系）'!B40</f>
        <v>hipSpreadDuckedMin
（蹲下扫射最小散步）（英寸）</v>
      </c>
      <c r="B41" s="37">
        <f>'新参数（美系）'!F40</f>
        <v>11.4496397935136</v>
      </c>
      <c r="C41" s="37">
        <f>'新参数（德系）'!C40</f>
        <v>11.5694602109131</v>
      </c>
      <c r="D41" s="37">
        <f>'新参数（苏系）'!C40</f>
        <v>11.8821948912271</v>
      </c>
      <c r="E41" s="37">
        <f>'新参数（日系）'!C40</f>
        <v>11.4372440737498</v>
      </c>
      <c r="F41" s="43" t="s">
        <v>64</v>
      </c>
      <c r="G41" s="37">
        <f>'新参数（美系）'!L40</f>
        <v>0</v>
      </c>
      <c r="H41" s="37">
        <f>'新参数（德系）'!K40</f>
        <v>0</v>
      </c>
      <c r="I41" s="37">
        <f>'新参数（苏系）'!I40</f>
        <v>0</v>
      </c>
      <c r="J41" s="37">
        <f>'新参数（日系）'!G40</f>
        <v>0</v>
      </c>
      <c r="K41" s="43" t="str">
        <f t="shared" si="2"/>
        <v>hipSpreadDuckedMin
（蹲下扫射最小散步）（英寸）</v>
      </c>
      <c r="L41" s="37">
        <f>'新参数（美系）'!E40</f>
        <v>11.5550385906215</v>
      </c>
      <c r="M41" s="37">
        <f>'新参数（德系）'!D40</f>
        <v>10.9820065211723</v>
      </c>
      <c r="N41" s="37">
        <f>'新参数（苏系）'!D40</f>
        <v>11.1059109228348</v>
      </c>
      <c r="O41" s="37">
        <f>'新参数（日系）'!D40</f>
        <v>11.3693646874388</v>
      </c>
      <c r="P41" s="43" t="s">
        <v>64</v>
      </c>
      <c r="Q41" s="37">
        <f>'新参数（美系）'!C40</f>
        <v>10.1188313528503</v>
      </c>
      <c r="R41" s="37">
        <f>'新参数（德系）'!G40</f>
        <v>11.8614183269072</v>
      </c>
      <c r="S41" s="43" t="str">
        <f t="shared" si="0"/>
        <v>hipSpreadDuckedMin
（蹲下扫射最小散步）（英寸）</v>
      </c>
      <c r="T41" s="37">
        <f>'新参数（美系）'!H40</f>
        <v>14.1935860008818</v>
      </c>
      <c r="U41" s="37">
        <f>'新参数（德系）'!I40</f>
        <v>11.7976750959089</v>
      </c>
      <c r="V41" s="43" t="s">
        <v>64</v>
      </c>
      <c r="W41" s="37">
        <f>'新参数（美系）'!I40</f>
        <v>17.9127829370202</v>
      </c>
      <c r="X41" s="37">
        <f>'新参数（德系）'!F40</f>
        <v>15.5591997600255</v>
      </c>
      <c r="Y41" s="37">
        <f>'新参数（苏系）'!F40</f>
        <v>15.5349806764895</v>
      </c>
      <c r="Z41" s="37">
        <f>'新参数（日系）'!F40</f>
        <v>14.9700801778963</v>
      </c>
      <c r="AA41" s="43" t="s">
        <v>64</v>
      </c>
      <c r="AB41" s="37">
        <f>'新参数（美系）'!D40</f>
        <v>12.1762564969791</v>
      </c>
      <c r="AC41" s="37">
        <f>'新参数（德系）'!H40</f>
        <v>11.7911087864786</v>
      </c>
      <c r="AD41" s="37">
        <f>'新参数（苏系）'!G40</f>
        <v>11.8715435388209</v>
      </c>
      <c r="AE41" s="43" t="s">
        <v>64</v>
      </c>
      <c r="AJ41" s="43" t="s">
        <v>64</v>
      </c>
    </row>
    <row r="42" s="37" customFormat="1" ht="50.1" customHeight="1" spans="1:36">
      <c r="A42" s="43" t="str">
        <f>'新参数（美系）'!B41</f>
        <v>hipSpreadProneMin
（匍匐扫射最小散步）（英寸）</v>
      </c>
      <c r="B42" s="37">
        <f>'新参数（美系）'!F41</f>
        <v>10.8470271728024</v>
      </c>
      <c r="C42" s="37">
        <f>'新参数（德系）'!C41</f>
        <v>10.960541252444</v>
      </c>
      <c r="D42" s="37">
        <f>'新参数（苏系）'!C41</f>
        <v>11.2568162127415</v>
      </c>
      <c r="E42" s="37">
        <f>'新参数（日系）'!C41</f>
        <v>10.8352838593419</v>
      </c>
      <c r="F42" s="43" t="s">
        <v>65</v>
      </c>
      <c r="G42" s="37">
        <f>'新参数（美系）'!L41</f>
        <v>0</v>
      </c>
      <c r="H42" s="37">
        <f>'新参数（德系）'!K41</f>
        <v>0</v>
      </c>
      <c r="I42" s="37">
        <f>'新参数（苏系）'!I41</f>
        <v>0</v>
      </c>
      <c r="J42" s="37">
        <f>'新参数（日系）'!G41</f>
        <v>0</v>
      </c>
      <c r="K42" s="43" t="str">
        <f t="shared" si="2"/>
        <v>hipSpreadProneMin
（匍匐扫射最小散步）（英寸）</v>
      </c>
      <c r="L42" s="37">
        <f>'新参数（美系）'!E41</f>
        <v>10.9468786647993</v>
      </c>
      <c r="M42" s="37">
        <f>'新参数（德系）'!D41</f>
        <v>10.4040061779527</v>
      </c>
      <c r="N42" s="37">
        <f>'新参数（苏系）'!D41</f>
        <v>10.5213892953172</v>
      </c>
      <c r="O42" s="37">
        <f>'新参数（日系）'!D41</f>
        <v>10.7709770723104</v>
      </c>
      <c r="P42" s="43" t="s">
        <v>65</v>
      </c>
      <c r="Q42" s="37">
        <f>'新参数（美系）'!C41</f>
        <v>9.58626128164764</v>
      </c>
      <c r="R42" s="37">
        <f>'新参数（德系）'!G41</f>
        <v>11.2371331518068</v>
      </c>
      <c r="S42" s="43" t="str">
        <f t="shared" si="0"/>
        <v>hipSpreadProneMin
（匍匐扫射最小散步）（英寸）</v>
      </c>
      <c r="T42" s="37">
        <f>'新参数（美系）'!H41</f>
        <v>13.4465551587302</v>
      </c>
      <c r="U42" s="37">
        <f>'新参数（德系）'!I41</f>
        <v>11.1767448277031</v>
      </c>
      <c r="V42" s="43" t="s">
        <v>65</v>
      </c>
      <c r="W42" s="37">
        <f>'新参数（美系）'!I41</f>
        <v>16.9700048877033</v>
      </c>
      <c r="X42" s="37">
        <f>'新参数（德系）'!F41</f>
        <v>14.7402945094978</v>
      </c>
      <c r="Y42" s="37">
        <f>'新参数（苏系）'!F41</f>
        <v>14.717350114569</v>
      </c>
      <c r="Z42" s="37">
        <f>'新参数（日系）'!F41</f>
        <v>14.1821812211649</v>
      </c>
      <c r="AA42" s="43" t="s">
        <v>65</v>
      </c>
      <c r="AB42" s="37">
        <f>'新参数（美系）'!D41</f>
        <v>11.5354008918749</v>
      </c>
      <c r="AC42" s="37">
        <f>'新参数（德系）'!H41</f>
        <v>11.1705241135061</v>
      </c>
      <c r="AD42" s="37">
        <f>'新参数（苏系）'!G41</f>
        <v>11.2467254578304</v>
      </c>
      <c r="AE42" s="43" t="s">
        <v>65</v>
      </c>
      <c r="AJ42" s="43" t="s">
        <v>65</v>
      </c>
    </row>
    <row r="43" s="37" customFormat="1" ht="50.1" customHeight="1" spans="1:36">
      <c r="A43" s="43" t="str">
        <f>'新参数（美系）'!B42</f>
        <v>hipSpreadStandMax
（站立扫射最大散步）（英寸）</v>
      </c>
      <c r="B43" s="37">
        <f>'新参数（美系）'!F42</f>
        <v>26.9052601170507</v>
      </c>
      <c r="C43" s="37">
        <f>'新参数（德系）'!C42</f>
        <v>27.1872350252381</v>
      </c>
      <c r="D43" s="37">
        <f>'新参数（苏系）'!C42</f>
        <v>27.9165307125699</v>
      </c>
      <c r="E43" s="37">
        <f>'新参数（日系）'!C42</f>
        <v>26.8735425708052</v>
      </c>
      <c r="F43" s="43" t="s">
        <v>66</v>
      </c>
      <c r="G43" s="37">
        <f>'新参数（美系）'!L42</f>
        <v>0</v>
      </c>
      <c r="H43" s="37">
        <f>'新参数（德系）'!K42</f>
        <v>0</v>
      </c>
      <c r="I43" s="37">
        <f>'新参数（苏系）'!I42</f>
        <v>0</v>
      </c>
      <c r="J43" s="37">
        <f>'新参数（日系）'!G42</f>
        <v>0</v>
      </c>
      <c r="K43" s="43" t="str">
        <f t="shared" si="2"/>
        <v>hipSpreadStandMax
（站立扫射最大散步）（英寸）</v>
      </c>
      <c r="L43" s="37">
        <f>'新参数（美系）'!E42</f>
        <v>27.0451799979251</v>
      </c>
      <c r="M43" s="37">
        <f>'新参数（德系）'!D42</f>
        <v>25.7038735510665</v>
      </c>
      <c r="N43" s="37">
        <f>'新参数（苏系）'!D42</f>
        <v>25.9955795847534</v>
      </c>
      <c r="O43" s="37">
        <f>'新参数（日系）'!D42</f>
        <v>26.6099745247893</v>
      </c>
      <c r="P43" s="43" t="s">
        <v>66</v>
      </c>
      <c r="Q43" s="37">
        <f>'新参数（美系）'!C42</f>
        <v>23.7811236462751</v>
      </c>
      <c r="R43" s="37">
        <f>'新参数（德系）'!G42</f>
        <v>27.7998976509437</v>
      </c>
      <c r="S43" s="43" t="str">
        <f t="shared" si="0"/>
        <v>hipSpreadStandMax
（站立扫射最大散步）（英寸）</v>
      </c>
      <c r="T43" s="37">
        <f>'新参数（美系）'!H42</f>
        <v>33.2687330981775</v>
      </c>
      <c r="U43" s="37">
        <f>'新参数（德系）'!I42</f>
        <v>27.6567784410377</v>
      </c>
      <c r="V43" s="43" t="s">
        <v>66</v>
      </c>
      <c r="W43" s="37">
        <f>'新参数（美系）'!I42</f>
        <v>41.9551365050092</v>
      </c>
      <c r="X43" s="37">
        <f>'新参数（德系）'!F42</f>
        <v>36.4496787810449</v>
      </c>
      <c r="Y43" s="37">
        <f>'新参数（苏系）'!F42</f>
        <v>36.3840443092761</v>
      </c>
      <c r="Z43" s="37">
        <f>'新参数（日系）'!F42</f>
        <v>35.0626396342043</v>
      </c>
      <c r="AA43" s="43" t="s">
        <v>66</v>
      </c>
      <c r="AB43" s="37">
        <f>'新参数（美系）'!D42</f>
        <v>28.6158621020832</v>
      </c>
      <c r="AC43" s="37">
        <f>'新参数（德系）'!H42</f>
        <v>27.6928837249379</v>
      </c>
      <c r="AD43" s="37">
        <f>'新参数（苏系）'!G42</f>
        <v>27.8810351924053</v>
      </c>
      <c r="AE43" s="43" t="s">
        <v>66</v>
      </c>
      <c r="AJ43" s="43" t="s">
        <v>66</v>
      </c>
    </row>
    <row r="44" s="37" customFormat="1" ht="50.1" customHeight="1" spans="1:36">
      <c r="A44" s="43" t="str">
        <f>'新参数（美系）'!B43</f>
        <v>hipSpreadDuckedMax
（蹲下扫射最大散步）（英寸）</v>
      </c>
      <c r="B44" s="37">
        <f>'新参数（美系）'!F43</f>
        <v>25.5599971111982</v>
      </c>
      <c r="C44" s="37">
        <f>'新参数（德系）'!C43</f>
        <v>25.8278732739762</v>
      </c>
      <c r="D44" s="37">
        <f>'新参数（苏系）'!C43</f>
        <v>26.5207041769414</v>
      </c>
      <c r="E44" s="37">
        <f>'新参数（日系）'!C43</f>
        <v>25.529865442265</v>
      </c>
      <c r="F44" s="43" t="s">
        <v>67</v>
      </c>
      <c r="G44" s="37">
        <f>'新参数（美系）'!L43</f>
        <v>0</v>
      </c>
      <c r="H44" s="37">
        <f>'新参数（德系）'!K43</f>
        <v>0</v>
      </c>
      <c r="I44" s="37">
        <f>'新参数（苏系）'!I43</f>
        <v>0</v>
      </c>
      <c r="J44" s="37">
        <f>'新参数（日系）'!G43</f>
        <v>0</v>
      </c>
      <c r="K44" s="43" t="str">
        <f t="shared" si="2"/>
        <v>hipSpreadDuckedMax
（蹲下扫射最大散步）（英寸）</v>
      </c>
      <c r="L44" s="37">
        <f>'新参数（美系）'!E43</f>
        <v>25.6929209980289</v>
      </c>
      <c r="M44" s="37">
        <f>'新参数（德系）'!D43</f>
        <v>24.4186798735132</v>
      </c>
      <c r="N44" s="37">
        <f>'新参数（苏系）'!D43</f>
        <v>24.6958006055157</v>
      </c>
      <c r="O44" s="37">
        <f>'新参数（日系）'!D43</f>
        <v>25.2794757985498</v>
      </c>
      <c r="P44" s="43" t="s">
        <v>67</v>
      </c>
      <c r="Q44" s="37">
        <f>'新参数（美系）'!C43</f>
        <v>22.5920674639614</v>
      </c>
      <c r="R44" s="37">
        <f>'新参数（德系）'!G43</f>
        <v>26.4099027683965</v>
      </c>
      <c r="S44" s="43" t="str">
        <f t="shared" si="0"/>
        <v>hipSpreadDuckedMax
（蹲下扫射最大散步）（英寸）</v>
      </c>
      <c r="T44" s="37">
        <f>'新参数（美系）'!H43</f>
        <v>31.6052964432686</v>
      </c>
      <c r="U44" s="37">
        <f>'新参数（德系）'!I43</f>
        <v>26.2739395189858</v>
      </c>
      <c r="V44" s="43" t="s">
        <v>67</v>
      </c>
      <c r="W44" s="37">
        <f>'新参数（美系）'!I43</f>
        <v>39.8573796797588</v>
      </c>
      <c r="X44" s="37">
        <f>'新参数（德系）'!F43</f>
        <v>34.6271948419927</v>
      </c>
      <c r="Y44" s="37">
        <f>'新参数（苏系）'!F43</f>
        <v>34.5648420938123</v>
      </c>
      <c r="Z44" s="37">
        <f>'新参数（日系）'!F43</f>
        <v>33.3095076524941</v>
      </c>
      <c r="AA44" s="43" t="s">
        <v>67</v>
      </c>
      <c r="AB44" s="37">
        <f>'新参数（美系）'!D43</f>
        <v>27.1850689969791</v>
      </c>
      <c r="AC44" s="37">
        <f>'新参数（德系）'!H43</f>
        <v>26.308239538691</v>
      </c>
      <c r="AD44" s="37">
        <f>'新参数（苏系）'!G43</f>
        <v>26.4869834327851</v>
      </c>
      <c r="AE44" s="43" t="s">
        <v>67</v>
      </c>
      <c r="AJ44" s="43" t="s">
        <v>67</v>
      </c>
    </row>
    <row r="45" s="37" customFormat="1" ht="50.1" customHeight="1" spans="1:36">
      <c r="A45" s="43" t="str">
        <f>'新参数（美系）'!B44</f>
        <v>hipSpreadProneMax
（匍匐扫射最大散步）（英寸）</v>
      </c>
      <c r="B45" s="37">
        <f>'新参数（美系）'!F44</f>
        <v>24.2147341053457</v>
      </c>
      <c r="C45" s="37">
        <f>'新参数（德系）'!C44</f>
        <v>24.4685115227143</v>
      </c>
      <c r="D45" s="37">
        <f>'新参数（苏系）'!C44</f>
        <v>25.1248776413129</v>
      </c>
      <c r="E45" s="37">
        <f>'新参数（日系）'!C44</f>
        <v>24.1861883137247</v>
      </c>
      <c r="F45" s="43" t="s">
        <v>68</v>
      </c>
      <c r="G45" s="37">
        <f>'新参数（美系）'!L44</f>
        <v>0</v>
      </c>
      <c r="H45" s="37">
        <f>'新参数（德系）'!K44</f>
        <v>0</v>
      </c>
      <c r="I45" s="37">
        <f>'新参数（苏系）'!I44</f>
        <v>0</v>
      </c>
      <c r="J45" s="37">
        <f>'新参数（日系）'!G44</f>
        <v>0</v>
      </c>
      <c r="K45" s="43" t="str">
        <f t="shared" si="2"/>
        <v>hipSpreadProneMax
（匍匐扫射最大散步）（英寸）</v>
      </c>
      <c r="L45" s="37">
        <f>'新参数（美系）'!E44</f>
        <v>24.3406619981326</v>
      </c>
      <c r="M45" s="37">
        <f>'新参数（德系）'!D44</f>
        <v>23.1334861959599</v>
      </c>
      <c r="N45" s="37">
        <f>'新参数（苏系）'!D44</f>
        <v>23.3960216262781</v>
      </c>
      <c r="O45" s="37">
        <f>'新参数（日系）'!D44</f>
        <v>23.9489770723104</v>
      </c>
      <c r="P45" s="43" t="s">
        <v>68</v>
      </c>
      <c r="Q45" s="37">
        <f>'新参数（美系）'!C44</f>
        <v>21.4030112816476</v>
      </c>
      <c r="R45" s="37">
        <f>'新参数（德系）'!G44</f>
        <v>25.0199078858494</v>
      </c>
      <c r="S45" s="43" t="str">
        <f t="shared" si="0"/>
        <v>hipSpreadProneMax
（匍匐扫射最大散步）（英寸）</v>
      </c>
      <c r="T45" s="37">
        <f>'新参数（美系）'!H44</f>
        <v>29.9418597883598</v>
      </c>
      <c r="U45" s="37">
        <f>'新参数（德系）'!I44</f>
        <v>24.8911005969339</v>
      </c>
      <c r="V45" s="43" t="s">
        <v>68</v>
      </c>
      <c r="W45" s="37">
        <f>'新参数（美系）'!I44</f>
        <v>37.7596228545083</v>
      </c>
      <c r="X45" s="37">
        <f>'新参数（德系）'!F44</f>
        <v>32.8047109029404</v>
      </c>
      <c r="Y45" s="37">
        <f>'新参数（苏系）'!F44</f>
        <v>32.7456398783485</v>
      </c>
      <c r="Z45" s="37">
        <f>'新参数（日系）'!F44</f>
        <v>31.5563756707839</v>
      </c>
      <c r="AA45" s="43" t="s">
        <v>68</v>
      </c>
      <c r="AB45" s="37">
        <f>'新参数（美系）'!D44</f>
        <v>25.7542758918749</v>
      </c>
      <c r="AC45" s="37">
        <f>'新参数（德系）'!H44</f>
        <v>24.9235953524441</v>
      </c>
      <c r="AD45" s="37">
        <f>'新参数（苏系）'!G44</f>
        <v>25.0929316731648</v>
      </c>
      <c r="AE45" s="43" t="s">
        <v>68</v>
      </c>
      <c r="AJ45" s="43" t="s">
        <v>68</v>
      </c>
    </row>
    <row r="46" s="37" customFormat="1" ht="50.1" customHeight="1" spans="1:36">
      <c r="A46" s="43" t="str">
        <f>'新参数（美系）'!B45</f>
        <v>hipSpreadFireAdd
（开枪扫射散步增量）（英寸/s）</v>
      </c>
      <c r="B46" s="37">
        <f>'新参数（美系）'!F45</f>
        <v>1.25628030252802</v>
      </c>
      <c r="C46" s="37">
        <f>'新参数（德系）'!C45</f>
        <v>1.19483235471453</v>
      </c>
      <c r="D46" s="37">
        <f>'新参数（苏系）'!C45</f>
        <v>1.22778635641875</v>
      </c>
      <c r="E46" s="37">
        <f>'新参数（日系）'!C45</f>
        <v>1.2924066909671</v>
      </c>
      <c r="F46" s="43" t="s">
        <v>69</v>
      </c>
      <c r="G46" s="37">
        <f>'新参数（美系）'!L45</f>
        <v>0</v>
      </c>
      <c r="H46" s="37">
        <f>'新参数（德系）'!K45</f>
        <v>0</v>
      </c>
      <c r="I46" s="37">
        <f>'新参数（苏系）'!I45</f>
        <v>0</v>
      </c>
      <c r="J46" s="37">
        <f>'新参数（日系）'!G45</f>
        <v>0</v>
      </c>
      <c r="K46" s="43" t="str">
        <f t="shared" si="2"/>
        <v>hipSpreadFireAdd
（开枪扫射散步增量）（英寸/s）</v>
      </c>
      <c r="L46" s="37">
        <f>'新参数（美系）'!E45</f>
        <v>0.768284799112088</v>
      </c>
      <c r="M46" s="37">
        <f>'新参数（德系）'!D45</f>
        <v>0.853601522957937</v>
      </c>
      <c r="N46" s="37">
        <f>'新参数（苏系）'!D45</f>
        <v>0.868162649888232</v>
      </c>
      <c r="O46" s="37">
        <f>'新参数（日系）'!D45</f>
        <v>0.689605807454714</v>
      </c>
      <c r="P46" s="43" t="s">
        <v>69</v>
      </c>
      <c r="Q46" s="37">
        <f>'新参数（美系）'!C45</f>
        <v>1.54178581996069</v>
      </c>
      <c r="R46" s="37">
        <f>'新参数（德系）'!G45</f>
        <v>0.837231979912391</v>
      </c>
      <c r="S46" s="43" t="str">
        <f t="shared" si="0"/>
        <v>hipSpreadFireAdd
（开枪扫射散步增量）（英寸/s）</v>
      </c>
      <c r="T46" s="37">
        <f>'新参数（美系）'!H45</f>
        <v>0.562470953631865</v>
      </c>
      <c r="U46" s="37">
        <f>'新参数（德系）'!I45</f>
        <v>0.989659122086779</v>
      </c>
      <c r="V46" s="43" t="s">
        <v>69</v>
      </c>
      <c r="W46" s="37">
        <f>'新参数（美系）'!I45</f>
        <v>0.329982959464027</v>
      </c>
      <c r="X46" s="37">
        <f>'新参数（德系）'!F45</f>
        <v>0.422311435718065</v>
      </c>
      <c r="Y46" s="37">
        <f>'新参数（苏系）'!F45</f>
        <v>0.427056123971738</v>
      </c>
      <c r="Z46" s="37">
        <f>'新参数（日系）'!F45</f>
        <v>0.45592859488211</v>
      </c>
      <c r="AA46" s="43" t="s">
        <v>69</v>
      </c>
      <c r="AB46" s="37">
        <f>'新参数（美系）'!D45</f>
        <v>0.933914036218945</v>
      </c>
      <c r="AC46" s="37">
        <f>'新参数（德系）'!H45</f>
        <v>1.11336651234763</v>
      </c>
      <c r="AD46" s="37">
        <f>'新参数（苏系）'!G45</f>
        <v>1.22778635641875</v>
      </c>
      <c r="AE46" s="43" t="s">
        <v>69</v>
      </c>
      <c r="AJ46" s="43" t="s">
        <v>69</v>
      </c>
    </row>
    <row r="47" s="37" customFormat="1" ht="50.1" customHeight="1" spans="1:36">
      <c r="A47" s="43" t="str">
        <f>'新参数（美系）'!B46</f>
        <v>hipSpreadTurnAdd
（转身扫射散步增量）（英寸/s）</v>
      </c>
      <c r="B47" s="37">
        <f>'新参数（美系）'!F46</f>
        <v>0.32406562260711</v>
      </c>
      <c r="C47" s="37">
        <f>'新参数（德系）'!C46</f>
        <v>0.327465945945946</v>
      </c>
      <c r="D47" s="37">
        <f>'新参数（苏系）'!C46</f>
        <v>0.336195428571428</v>
      </c>
      <c r="E47" s="37">
        <f>'新参数（日系）'!C46</f>
        <v>0.32365828980322</v>
      </c>
      <c r="F47" s="43" t="s">
        <v>70</v>
      </c>
      <c r="G47" s="37">
        <f>'新参数（美系）'!L46</f>
        <v>0</v>
      </c>
      <c r="H47" s="37">
        <f>'新参数（德系）'!K46</f>
        <v>0</v>
      </c>
      <c r="I47" s="37">
        <f>'新参数（苏系）'!I46</f>
        <v>0</v>
      </c>
      <c r="J47" s="37">
        <f>'新参数（日系）'!G46</f>
        <v>0</v>
      </c>
      <c r="K47" s="43" t="str">
        <f t="shared" si="2"/>
        <v>hipSpreadTurnAdd
（转身扫射散步增量）（英寸/s）</v>
      </c>
      <c r="L47" s="37">
        <f>'新参数（美系）'!E46</f>
        <v>0.324697777777778</v>
      </c>
      <c r="M47" s="37">
        <f>'新参数（德系）'!D46</f>
        <v>0.308593454981993</v>
      </c>
      <c r="N47" s="37">
        <f>'新参数（苏系）'!D46</f>
        <v>0.312112298932385</v>
      </c>
      <c r="O47" s="37">
        <f>'新参数（日系）'!D46</f>
        <v>0.319466666666666</v>
      </c>
      <c r="P47" s="43" t="s">
        <v>70</v>
      </c>
      <c r="Q47" s="37">
        <f>'新参数（美系）'!C46</f>
        <v>0.286466666666666</v>
      </c>
      <c r="R47" s="37">
        <f>'新参数（德系）'!G46</f>
        <v>0.334127872340425</v>
      </c>
      <c r="S47" s="43" t="str">
        <f t="shared" si="0"/>
        <v>hipSpreadTurnAdd
（转身扫射散步增量）（英寸/s）</v>
      </c>
      <c r="T47" s="37">
        <f>'新参数（美系）'!H46</f>
        <v>0.399886172839506</v>
      </c>
      <c r="U47" s="37">
        <f>'新参数（德系）'!I46</f>
        <v>0.33246923076923</v>
      </c>
      <c r="V47" s="43" t="s">
        <v>70</v>
      </c>
      <c r="W47" s="37">
        <f>'新参数（美系）'!I46</f>
        <v>0.503990738589211</v>
      </c>
      <c r="X47" s="37">
        <f>'新参数（德系）'!F46</f>
        <v>0.43792524590164</v>
      </c>
      <c r="Y47" s="37">
        <f>'新参数（苏系）'!F46</f>
        <v>0.437049448818898</v>
      </c>
      <c r="Z47" s="37">
        <f>'新参数（日系）'!F46</f>
        <v>0.421192592718036</v>
      </c>
      <c r="AA47" s="43" t="s">
        <v>70</v>
      </c>
      <c r="AB47" s="37">
        <f>'新参数（美系）'!D46</f>
        <v>0.3447</v>
      </c>
      <c r="AC47" s="37">
        <f>'新参数（德系）'!H46</f>
        <v>0.33340778761062</v>
      </c>
      <c r="AD47" s="37">
        <f>'新参数（苏系）'!G46</f>
        <v>0.335665605220229</v>
      </c>
      <c r="AE47" s="43" t="s">
        <v>70</v>
      </c>
      <c r="AJ47" s="43" t="s">
        <v>70</v>
      </c>
    </row>
    <row r="48" s="37" customFormat="1" ht="50.1" customHeight="1" spans="1:36">
      <c r="A48" s="43" t="str">
        <f>'新参数（美系）'!B47</f>
        <v>hipSpreadMoveAdd
（移动中扫射散步增量）（英寸/s）</v>
      </c>
      <c r="B48" s="37">
        <f>'新参数（美系）'!F47</f>
        <v>7.201458280158</v>
      </c>
      <c r="C48" s="37">
        <f>'新参数（德系）'!C47</f>
        <v>7.27702102102101</v>
      </c>
      <c r="D48" s="37">
        <f>'新参数（苏系）'!C47</f>
        <v>7.47100952380952</v>
      </c>
      <c r="E48" s="37">
        <f>'新参数（日系）'!C47</f>
        <v>7.19240644007155</v>
      </c>
      <c r="F48" s="43" t="s">
        <v>71</v>
      </c>
      <c r="G48" s="37">
        <f>'新参数（美系）'!L47</f>
        <v>0</v>
      </c>
      <c r="H48" s="37">
        <f>'新参数（德系）'!K47</f>
        <v>0</v>
      </c>
      <c r="I48" s="37">
        <f>'新参数（苏系）'!I47</f>
        <v>0</v>
      </c>
      <c r="J48" s="37">
        <f>'新参数（日系）'!G47</f>
        <v>0</v>
      </c>
      <c r="K48" s="43" t="str">
        <f t="shared" si="2"/>
        <v>hipSpreadMoveAdd
（移动中扫射散步增量）（英寸/s）</v>
      </c>
      <c r="L48" s="37">
        <f>'新参数（美系）'!E47</f>
        <v>7.21550617283952</v>
      </c>
      <c r="M48" s="37">
        <f>'新参数（德系）'!D47</f>
        <v>6.85763233293317</v>
      </c>
      <c r="N48" s="37">
        <f>'新参数（苏系）'!D47</f>
        <v>6.93582886516411</v>
      </c>
      <c r="O48" s="37">
        <f>'新参数（日系）'!D47</f>
        <v>7.09925925925925</v>
      </c>
      <c r="P48" s="43" t="s">
        <v>71</v>
      </c>
      <c r="Q48" s="37">
        <f>'新参数（美系）'!C47</f>
        <v>6.36592592592592</v>
      </c>
      <c r="R48" s="37">
        <f>'新参数（德系）'!G47</f>
        <v>7.42506382978723</v>
      </c>
      <c r="S48" s="43" t="str">
        <f t="shared" si="0"/>
        <v>hipSpreadMoveAdd
（移动中扫射散步增量）（英寸/s）</v>
      </c>
      <c r="T48" s="37">
        <f>'新参数（美系）'!H47</f>
        <v>8.88635939643347</v>
      </c>
      <c r="U48" s="37">
        <f>'新参数（德系）'!I47</f>
        <v>7.38820512820512</v>
      </c>
      <c r="V48" s="43" t="s">
        <v>71</v>
      </c>
      <c r="W48" s="37">
        <f>'新参数（美系）'!I47</f>
        <v>11.1997941908714</v>
      </c>
      <c r="X48" s="37">
        <f>'新参数（德系）'!F47</f>
        <v>9.73167213114755</v>
      </c>
      <c r="Y48" s="37">
        <f>'新参数（苏系）'!F47</f>
        <v>9.71220997375328</v>
      </c>
      <c r="Z48" s="37">
        <f>'新参数（日系）'!F47</f>
        <v>9.35983539373413</v>
      </c>
      <c r="AA48" s="43" t="s">
        <v>71</v>
      </c>
      <c r="AB48" s="37">
        <f>'新参数（美系）'!D47</f>
        <v>7.66</v>
      </c>
      <c r="AC48" s="37">
        <f>'新参数（德系）'!H47</f>
        <v>7.40906194690267</v>
      </c>
      <c r="AD48" s="37">
        <f>'新参数（苏系）'!G47</f>
        <v>7.45923567156064</v>
      </c>
      <c r="AE48" s="43" t="s">
        <v>71</v>
      </c>
      <c r="AJ48" s="43" t="s">
        <v>71</v>
      </c>
    </row>
    <row r="49" s="37" customFormat="1" ht="50.1" customHeight="1" spans="1:36">
      <c r="A49" s="43" t="str">
        <f>'新参数（美系）'!B48</f>
        <v>hipSpreadDecayRate
（恒定扫射散步减量）（英寸/s）</v>
      </c>
      <c r="B49" s="37">
        <f>'新参数（美系）'!F48</f>
        <v>3.80857947595768</v>
      </c>
      <c r="C49" s="37">
        <f>'新参数（德系）'!C48</f>
        <v>3.80537526493368</v>
      </c>
      <c r="D49" s="37">
        <f>'新参数（苏系）'!C48</f>
        <v>3.79744604328775</v>
      </c>
      <c r="E49" s="37">
        <f>'新参数（日系）'!C48</f>
        <v>3.80896783166221</v>
      </c>
      <c r="F49" s="43" t="s">
        <v>72</v>
      </c>
      <c r="G49" s="37">
        <f>'新参数（美系）'!L48</f>
        <v>0</v>
      </c>
      <c r="H49" s="37">
        <f>'新参数（德系）'!K48</f>
        <v>0</v>
      </c>
      <c r="I49" s="37">
        <f>'新参数（苏系）'!I48</f>
        <v>0</v>
      </c>
      <c r="J49" s="37">
        <f>'新参数（日系）'!G48</f>
        <v>0</v>
      </c>
      <c r="K49" s="43" t="str">
        <f t="shared" si="2"/>
        <v>hipSpreadDecayRate
（恒定扫射散步减量）（英寸/s）</v>
      </c>
      <c r="L49" s="37">
        <f>'新参数（美系）'!E48</f>
        <v>3.80797870156179</v>
      </c>
      <c r="M49" s="37">
        <f>'新参数（德系）'!D48</f>
        <v>3.82405094270659</v>
      </c>
      <c r="N49" s="37">
        <f>'新参数（苏系）'!D48</f>
        <v>3.82039749904781</v>
      </c>
      <c r="O49" s="37">
        <f>'新参数（日系）'!D48</f>
        <v>3.81302170283806</v>
      </c>
      <c r="P49" s="43" t="s">
        <v>72</v>
      </c>
      <c r="Q49" s="37">
        <f>'新参数（美系）'!C48</f>
        <v>3.84908075401443</v>
      </c>
      <c r="R49" s="37">
        <f>'新参数（德系）'!G48</f>
        <v>3.79928661532946</v>
      </c>
      <c r="S49" s="43" t="str">
        <f t="shared" si="0"/>
        <v>hipSpreadDecayRate
（恒定扫射散步减量）（英寸/s）</v>
      </c>
      <c r="T49" s="37">
        <f>'新参数（美系）'!H48</f>
        <v>3.75007116222579</v>
      </c>
      <c r="U49" s="37">
        <f>'新参数（德系）'!I48</f>
        <v>3.80077971356517</v>
      </c>
      <c r="V49" s="43" t="s">
        <v>72</v>
      </c>
      <c r="W49" s="37">
        <f>'新参数（美系）'!I48</f>
        <v>3.69841634447475</v>
      </c>
      <c r="X49" s="37">
        <f>'新参数（德系）'!F48</f>
        <v>3.72834947502081</v>
      </c>
      <c r="Y49" s="37">
        <f>'新参数（苏系）'!F48</f>
        <v>3.72880706123814</v>
      </c>
      <c r="Z49" s="37">
        <f>'新参数（日系）'!F48</f>
        <v>3.7374210794038</v>
      </c>
      <c r="AA49" s="43" t="s">
        <v>72</v>
      </c>
      <c r="AB49" s="37">
        <f>'新参数（美系）'!D48</f>
        <v>3.79010733971569</v>
      </c>
      <c r="AC49" s="37">
        <f>'新参数（德系）'!H48</f>
        <v>3.79993300611439</v>
      </c>
      <c r="AD49" s="37">
        <f>'新参数（苏系）'!G48</f>
        <v>3.79791553988497</v>
      </c>
      <c r="AE49" s="43" t="s">
        <v>72</v>
      </c>
      <c r="AJ49" s="43" t="s">
        <v>72</v>
      </c>
    </row>
    <row r="50" ht="50.1" customHeight="1" spans="1:40">
      <c r="A50" s="40" t="str">
        <f>'新参数（美系）'!B49</f>
        <v>hipSpreadDuckedDecay
（蹲下扫射散步减量系数）</v>
      </c>
      <c r="B50" s="41">
        <f>'新参数（美系）'!F49</f>
        <v>1.05</v>
      </c>
      <c r="C50" s="41">
        <f>'新参数（德系）'!C49</f>
        <v>1.05</v>
      </c>
      <c r="D50" s="41">
        <f>'新参数（苏系）'!C49</f>
        <v>1.05</v>
      </c>
      <c r="E50" s="41">
        <f>'新参数（日系）'!C49</f>
        <v>1.05</v>
      </c>
      <c r="F50" s="40" t="s">
        <v>73</v>
      </c>
      <c r="G50" s="41">
        <f>'新参数（美系）'!L49</f>
        <v>0</v>
      </c>
      <c r="H50" s="41">
        <f>'新参数（德系）'!K49</f>
        <v>0</v>
      </c>
      <c r="I50" s="41">
        <f>'新参数（苏系）'!I49</f>
        <v>0</v>
      </c>
      <c r="J50" s="41">
        <f>'新参数（日系）'!G49</f>
        <v>0</v>
      </c>
      <c r="K50" s="40" t="str">
        <f t="shared" si="2"/>
        <v>hipSpreadDuckedDecay
（蹲下扫射散步减量系数）</v>
      </c>
      <c r="L50" s="41">
        <f>'新参数（美系）'!E49</f>
        <v>1.05</v>
      </c>
      <c r="M50" s="41">
        <f>'新参数（德系）'!D49</f>
        <v>1.05</v>
      </c>
      <c r="N50" s="37">
        <f>'新参数（苏系）'!D49</f>
        <v>1.05</v>
      </c>
      <c r="O50" s="41">
        <f>'新参数（日系）'!D49</f>
        <v>1.05</v>
      </c>
      <c r="P50" s="40" t="s">
        <v>73</v>
      </c>
      <c r="Q50" s="41">
        <f>'新参数（美系）'!C49</f>
        <v>1.05</v>
      </c>
      <c r="R50" s="41">
        <f>'新参数（德系）'!G49</f>
        <v>1.05</v>
      </c>
      <c r="S50" s="40" t="str">
        <f t="shared" si="0"/>
        <v>hipSpreadDuckedDecay
（蹲下扫射散步减量系数）</v>
      </c>
      <c r="T50" s="41">
        <f>'新参数（美系）'!H49</f>
        <v>1.05</v>
      </c>
      <c r="U50" s="41">
        <f>'新参数（德系）'!I49</f>
        <v>1.05</v>
      </c>
      <c r="V50" s="40" t="s">
        <v>73</v>
      </c>
      <c r="W50" s="41">
        <f>'新参数（美系）'!I49</f>
        <v>1.05</v>
      </c>
      <c r="X50" s="41">
        <f>'新参数（德系）'!F49</f>
        <v>1.05</v>
      </c>
      <c r="Y50" s="41">
        <f>'新参数（苏系）'!F49</f>
        <v>1.05</v>
      </c>
      <c r="Z50" s="41">
        <f>'新参数（日系）'!F49</f>
        <v>1.05</v>
      </c>
      <c r="AA50" s="40" t="s">
        <v>73</v>
      </c>
      <c r="AB50" s="41">
        <f>'新参数（美系）'!D49</f>
        <v>1.05</v>
      </c>
      <c r="AC50" s="41">
        <f>'新参数（德系）'!H49</f>
        <v>1.05</v>
      </c>
      <c r="AD50" s="41">
        <f>'新参数（苏系）'!G49</f>
        <v>1.05</v>
      </c>
      <c r="AE50" s="40" t="s">
        <v>73</v>
      </c>
      <c r="AJ50" s="40" t="s">
        <v>73</v>
      </c>
      <c r="AK50"/>
      <c r="AL50"/>
      <c r="AM50"/>
      <c r="AN50"/>
    </row>
    <row r="51" ht="50.1" customHeight="1" spans="1:40">
      <c r="A51" s="40" t="str">
        <f>'新参数（美系）'!B50</f>
        <v>hipSpreadProneDecay
（匍匐扫射散步减量系数）</v>
      </c>
      <c r="B51" s="41">
        <f>'新参数（美系）'!F50</f>
        <v>1.1</v>
      </c>
      <c r="C51" s="41">
        <f>'新参数（德系）'!C50</f>
        <v>1.1</v>
      </c>
      <c r="D51" s="41">
        <f>'新参数（苏系）'!C50</f>
        <v>1.1</v>
      </c>
      <c r="E51" s="41">
        <f>'新参数（日系）'!C50</f>
        <v>1.1</v>
      </c>
      <c r="F51" s="40" t="s">
        <v>74</v>
      </c>
      <c r="G51" s="41">
        <f>'新参数（美系）'!L50</f>
        <v>0</v>
      </c>
      <c r="H51" s="41">
        <f>'新参数（德系）'!K50</f>
        <v>0</v>
      </c>
      <c r="I51" s="41">
        <f>'新参数（苏系）'!I50</f>
        <v>0</v>
      </c>
      <c r="J51" s="41">
        <f>'新参数（日系）'!G50</f>
        <v>0</v>
      </c>
      <c r="K51" s="40" t="str">
        <f t="shared" si="2"/>
        <v>hipSpreadProneDecay
（匍匐扫射散步减量系数）</v>
      </c>
      <c r="L51" s="41">
        <f>'新参数（美系）'!E50</f>
        <v>1.1</v>
      </c>
      <c r="M51" s="41">
        <f>'新参数（德系）'!D50</f>
        <v>1.1</v>
      </c>
      <c r="N51" s="41">
        <f>'新参数（苏系）'!D50</f>
        <v>1.1</v>
      </c>
      <c r="O51" s="41">
        <f>'新参数（日系）'!D50</f>
        <v>1.1</v>
      </c>
      <c r="P51" s="40" t="s">
        <v>74</v>
      </c>
      <c r="Q51" s="41">
        <f>'新参数（美系）'!C50</f>
        <v>1.1</v>
      </c>
      <c r="R51" s="41">
        <f>'新参数（德系）'!G50</f>
        <v>1.1</v>
      </c>
      <c r="S51" s="40" t="str">
        <f t="shared" si="0"/>
        <v>hipSpreadProneDecay
（匍匐扫射散步减量系数）</v>
      </c>
      <c r="T51" s="41">
        <f>'新参数（美系）'!H50</f>
        <v>1.1</v>
      </c>
      <c r="U51" s="41">
        <f>'新参数（德系）'!I50</f>
        <v>1.1</v>
      </c>
      <c r="V51" s="40" t="s">
        <v>74</v>
      </c>
      <c r="W51" s="41">
        <f>'新参数（美系）'!I50</f>
        <v>1.1</v>
      </c>
      <c r="X51" s="41">
        <f>'新参数（德系）'!F50</f>
        <v>1.1</v>
      </c>
      <c r="Y51" s="41">
        <f>'新参数（苏系）'!F50</f>
        <v>1.1</v>
      </c>
      <c r="Z51" s="41">
        <f>'新参数（日系）'!F50</f>
        <v>1.1</v>
      </c>
      <c r="AA51" s="40" t="s">
        <v>74</v>
      </c>
      <c r="AB51" s="41">
        <f>'新参数（美系）'!D50</f>
        <v>1.1</v>
      </c>
      <c r="AC51" s="41">
        <f>'新参数（德系）'!H50</f>
        <v>1.1</v>
      </c>
      <c r="AD51" s="41">
        <f>'新参数（苏系）'!G50</f>
        <v>1.1</v>
      </c>
      <c r="AE51" s="40" t="s">
        <v>74</v>
      </c>
      <c r="AJ51" s="40" t="s">
        <v>74</v>
      </c>
      <c r="AK51"/>
      <c r="AL51"/>
      <c r="AM51"/>
      <c r="AN51"/>
    </row>
    <row r="52" s="36" customFormat="1" ht="50.1" customHeight="1" spans="1:36">
      <c r="A52" s="42" t="str">
        <f>'新参数（美系）'!B51</f>
        <v>adsGunKickPitchMin（瞄准开火时枪的最小垂直运动度数）（负数为上）</v>
      </c>
      <c r="B52" s="36">
        <f>'新参数（美系）'!F51</f>
        <v>-173.265066812592</v>
      </c>
      <c r="C52" s="36">
        <f>'新参数（德系）'!C51</f>
        <v>-174.09597640548</v>
      </c>
      <c r="D52" s="36">
        <f>'新参数（苏系）'!C51</f>
        <v>-178.058178208259</v>
      </c>
      <c r="E52" s="36">
        <f>'新参数（日系）'!C51</f>
        <v>-172.466114794482</v>
      </c>
      <c r="F52" s="42" t="s">
        <v>76</v>
      </c>
      <c r="G52" s="36">
        <f>'新参数（美系）'!L51</f>
        <v>0</v>
      </c>
      <c r="H52" s="36">
        <f>'新参数（德系）'!K51</f>
        <v>0</v>
      </c>
      <c r="I52" s="36">
        <f>'新参数（苏系）'!I51</f>
        <v>0</v>
      </c>
      <c r="J52" s="36">
        <f>'新参数（日系）'!G51</f>
        <v>0</v>
      </c>
      <c r="K52" s="42" t="str">
        <f t="shared" si="2"/>
        <v>adsGunKickPitchMin（瞄准开火时枪的最小垂直运动度数）（负数为上）</v>
      </c>
      <c r="L52" s="36">
        <f>'新参数（美系）'!E51</f>
        <v>-165.728348929853</v>
      </c>
      <c r="M52" s="36">
        <f>'新参数（德系）'!D51</f>
        <v>-158.829500034606</v>
      </c>
      <c r="N52" s="36">
        <f>'新参数（苏系）'!D51</f>
        <v>-161.103621601265</v>
      </c>
      <c r="O52" s="36">
        <f>'新参数（日系）'!D51</f>
        <v>-160.172077639806</v>
      </c>
      <c r="P52" s="42" t="s">
        <v>76</v>
      </c>
      <c r="Q52" s="36">
        <f>'新参数（美系）'!C51</f>
        <v>-156.569824425813</v>
      </c>
      <c r="R52" s="36">
        <f>'新参数（德系）'!G51</f>
        <v>-172.079538782016</v>
      </c>
      <c r="S52" s="42" t="str">
        <f t="shared" si="0"/>
        <v>adsGunKickPitchMin（瞄准开火时枪的最小垂直运动度数）（负数为上）</v>
      </c>
      <c r="T52" s="36">
        <f>'新参数（美系）'!H51</f>
        <v>-197.327836008552</v>
      </c>
      <c r="U52" s="36">
        <f>'新参数（德系）'!I51</f>
        <v>-174.55061677296</v>
      </c>
      <c r="V52" s="42" t="s">
        <v>76</v>
      </c>
      <c r="W52" s="36">
        <f>'新参数（美系）'!I51</f>
        <v>-236.74683751381</v>
      </c>
      <c r="X52" s="36">
        <f>'新参数（德系）'!F51</f>
        <v>-210.298974478919</v>
      </c>
      <c r="Y52" s="36">
        <f>'新参数（苏系）'!F51</f>
        <v>-209.993794347846</v>
      </c>
      <c r="Z52" s="36">
        <f>'新参数（日系）'!F51</f>
        <v>-203.702471274652</v>
      </c>
      <c r="AA52" s="42" t="s">
        <v>76</v>
      </c>
      <c r="AB52" s="36">
        <f>'新参数（美系）'!D51</f>
        <v>-179.177424062012</v>
      </c>
      <c r="AC52" s="36">
        <f>'新参数（德系）'!H51</f>
        <v>-175.936185900086</v>
      </c>
      <c r="AD52" s="36">
        <f>'新参数（苏系）'!G51</f>
        <v>-177.833838089355</v>
      </c>
      <c r="AE52" s="42" t="s">
        <v>76</v>
      </c>
      <c r="AJ52" s="42" t="s">
        <v>76</v>
      </c>
    </row>
    <row r="53" s="36" customFormat="1" ht="50.1" customHeight="1" spans="1:36">
      <c r="A53" s="42" t="str">
        <f>'新参数（美系）'!B52</f>
        <v>adsGunKickPitchMax（瞄准开火时枪的最大垂直运动度数）（负数为上）</v>
      </c>
      <c r="B53" s="36">
        <f>'新参数（美系）'!F52</f>
        <v>-259.897600218888</v>
      </c>
      <c r="C53" s="36">
        <f>'新参数（德系）'!C52</f>
        <v>-261.14396460822</v>
      </c>
      <c r="D53" s="36">
        <f>'新参数（苏系）'!C52</f>
        <v>-267.087267312389</v>
      </c>
      <c r="E53" s="36">
        <f>'新参数（日系）'!C52</f>
        <v>-258.699172191723</v>
      </c>
      <c r="F53" s="42" t="s">
        <v>77</v>
      </c>
      <c r="G53" s="36">
        <f>'新参数（美系）'!L52</f>
        <v>0</v>
      </c>
      <c r="H53" s="36">
        <f>'新参数（德系）'!K52</f>
        <v>0</v>
      </c>
      <c r="I53" s="36">
        <f>'新参数（苏系）'!I52</f>
        <v>0</v>
      </c>
      <c r="J53" s="36">
        <f>'新参数（日系）'!G52</f>
        <v>0</v>
      </c>
      <c r="K53" s="42" t="str">
        <f t="shared" si="2"/>
        <v>adsGunKickPitchMax（瞄准开火时枪的最大垂直运动度数）（负数为上）</v>
      </c>
      <c r="L53" s="36">
        <f>'新参数（美系）'!E52</f>
        <v>-248.59252339478</v>
      </c>
      <c r="M53" s="36">
        <f>'新参数（德系）'!D52</f>
        <v>-238.244250051909</v>
      </c>
      <c r="N53" s="36">
        <f>'新参数（苏系）'!D52</f>
        <v>-241.655432401898</v>
      </c>
      <c r="O53" s="36">
        <f>'新参数（日系）'!D52</f>
        <v>-240.25811645971</v>
      </c>
      <c r="P53" s="42" t="s">
        <v>77</v>
      </c>
      <c r="Q53" s="36">
        <f>'新参数（美系）'!C52</f>
        <v>-234.85473663872</v>
      </c>
      <c r="R53" s="36">
        <f>'新参数（德系）'!G52</f>
        <v>-258.119308173024</v>
      </c>
      <c r="S53" s="42" t="str">
        <f t="shared" si="0"/>
        <v>adsGunKickPitchMax（瞄准开火时枪的最大垂直运动度数）（负数为上）</v>
      </c>
      <c r="T53" s="36">
        <f>'新参数（美系）'!H52</f>
        <v>-295.991754012829</v>
      </c>
      <c r="U53" s="36">
        <f>'新参数（德系）'!I52</f>
        <v>-261.82592515944</v>
      </c>
      <c r="V53" s="42" t="s">
        <v>77</v>
      </c>
      <c r="W53" s="36">
        <f>'新参数（美系）'!I52</f>
        <v>-355.120256270715</v>
      </c>
      <c r="X53" s="36">
        <f>'新参数（德系）'!F52</f>
        <v>-315.448461718379</v>
      </c>
      <c r="Y53" s="36">
        <f>'新参数（苏系）'!F52</f>
        <v>-314.99069152177</v>
      </c>
      <c r="Z53" s="36">
        <f>'新参数（日系）'!F52</f>
        <v>-305.553706911977</v>
      </c>
      <c r="AA53" s="42" t="s">
        <v>77</v>
      </c>
      <c r="AB53" s="36">
        <f>'新参数（美系）'!D52</f>
        <v>-268.766136093018</v>
      </c>
      <c r="AC53" s="36">
        <f>'新参数（德系）'!H52</f>
        <v>-263.904278850129</v>
      </c>
      <c r="AD53" s="36">
        <f>'新参数（苏系）'!G52</f>
        <v>-266.750757134033</v>
      </c>
      <c r="AE53" s="42" t="s">
        <v>77</v>
      </c>
      <c r="AJ53" s="42" t="s">
        <v>77</v>
      </c>
    </row>
    <row r="54" s="36" customFormat="1" ht="50.1" customHeight="1" spans="1:36">
      <c r="A54" s="42" t="str">
        <f>'新参数（美系）'!B53</f>
        <v>hipViewKickPitchMin（扫射开火时视角的最小垂直运动度数）（正数为上）</v>
      </c>
      <c r="B54" s="36">
        <f>'新参数（美系）'!F53</f>
        <v>190.591573493851</v>
      </c>
      <c r="C54" s="36">
        <f>'新参数（德系）'!C53</f>
        <v>191.505574046028</v>
      </c>
      <c r="D54" s="36">
        <f>'新参数（苏系）'!C53</f>
        <v>195.863996029085</v>
      </c>
      <c r="E54" s="36">
        <f>'新参数（日系）'!C53</f>
        <v>189.71272627393</v>
      </c>
      <c r="F54" s="42" t="s">
        <v>78</v>
      </c>
      <c r="G54" s="36">
        <f>'新参数（美系）'!L53</f>
        <v>0</v>
      </c>
      <c r="H54" s="36">
        <f>'新参数（德系）'!K53</f>
        <v>0</v>
      </c>
      <c r="I54" s="36">
        <f>'新参数（苏系）'!I53</f>
        <v>0</v>
      </c>
      <c r="J54" s="36">
        <f>'新参数（日系）'!G53</f>
        <v>0</v>
      </c>
      <c r="K54" s="42" t="str">
        <f t="shared" si="2"/>
        <v>hipViewKickPitchMin（扫射开火时视角的最小垂直运动度数）（正数为上）</v>
      </c>
      <c r="L54" s="36">
        <f>'新参数（美系）'!E53</f>
        <v>182.301183822839</v>
      </c>
      <c r="M54" s="36">
        <f>'新参数（德系）'!D53</f>
        <v>174.712450038067</v>
      </c>
      <c r="N54" s="36">
        <f>'新参数（苏系）'!D53</f>
        <v>177.213983761392</v>
      </c>
      <c r="O54" s="36">
        <f>'新参数（日系）'!D53</f>
        <v>176.189285403787</v>
      </c>
      <c r="P54" s="42" t="s">
        <v>78</v>
      </c>
      <c r="Q54" s="36">
        <f>'新参数（美系）'!C53</f>
        <v>172.226806868394</v>
      </c>
      <c r="R54" s="36">
        <f>'新参数（德系）'!G53</f>
        <v>189.287492660218</v>
      </c>
      <c r="S54" s="42" t="str">
        <f t="shared" si="0"/>
        <v>hipViewKickPitchMin（扫射开火时视角的最小垂直运动度数）（正数为上）</v>
      </c>
      <c r="T54" s="36">
        <f>'新参数（美系）'!H53</f>
        <v>217.060619609408</v>
      </c>
      <c r="U54" s="36">
        <f>'新参数（德系）'!I53</f>
        <v>192.005678450256</v>
      </c>
      <c r="V54" s="42" t="s">
        <v>78</v>
      </c>
      <c r="W54" s="36">
        <f>'新参数（美系）'!I53</f>
        <v>260.421521265191</v>
      </c>
      <c r="X54" s="36">
        <f>'新参数（德系）'!F53</f>
        <v>231.328871926811</v>
      </c>
      <c r="Y54" s="36">
        <f>'新参数（苏系）'!F53</f>
        <v>230.993173782631</v>
      </c>
      <c r="Z54" s="36">
        <f>'新参数（日系）'!F53</f>
        <v>224.072718402117</v>
      </c>
      <c r="AA54" s="42" t="s">
        <v>78</v>
      </c>
      <c r="AB54" s="36">
        <f>'新参数（美系）'!D53</f>
        <v>197.095166468213</v>
      </c>
      <c r="AC54" s="36">
        <f>'新参数（德系）'!H53</f>
        <v>193.529804490095</v>
      </c>
      <c r="AD54" s="36">
        <f>'新参数（苏系）'!G53</f>
        <v>195.617221898291</v>
      </c>
      <c r="AE54" s="42" t="s">
        <v>78</v>
      </c>
      <c r="AJ54" s="42" t="s">
        <v>78</v>
      </c>
    </row>
    <row r="55" s="36" customFormat="1" ht="50.1" customHeight="1" spans="1:36">
      <c r="A55" s="42" t="str">
        <f>'新参数（美系）'!B54</f>
        <v>hipViewKickPitchMax（扫射开火时视角的最大垂直运动度数）（正数为上）</v>
      </c>
      <c r="B55" s="36">
        <f>'新参数（美系）'!F54</f>
        <v>298.882240251721</v>
      </c>
      <c r="C55" s="36">
        <f>'新参数（德系）'!C54</f>
        <v>300.315559299453</v>
      </c>
      <c r="D55" s="36">
        <f>'新参数（苏系）'!C54</f>
        <v>307.150357409247</v>
      </c>
      <c r="E55" s="36">
        <f>'新参数（日系）'!C54</f>
        <v>297.504048020481</v>
      </c>
      <c r="F55" s="42" t="s">
        <v>79</v>
      </c>
      <c r="G55" s="36">
        <f>'新参数（美系）'!L54</f>
        <v>0</v>
      </c>
      <c r="H55" s="36">
        <f>'新参数（德系）'!K54</f>
        <v>0</v>
      </c>
      <c r="I55" s="36">
        <f>'新参数（苏系）'!I54</f>
        <v>0</v>
      </c>
      <c r="J55" s="36">
        <f>'新参数（日系）'!G54</f>
        <v>0</v>
      </c>
      <c r="K55" s="42" t="str">
        <f t="shared" si="2"/>
        <v>hipViewKickPitchMax（扫射开火时视角的最大垂直运动度数）（正数为上）</v>
      </c>
      <c r="L55" s="36">
        <f>'新参数（美系）'!E54</f>
        <v>285.881401903997</v>
      </c>
      <c r="M55" s="36">
        <f>'新参数（德系）'!D54</f>
        <v>273.980887559695</v>
      </c>
      <c r="N55" s="36">
        <f>'新参数（苏系）'!D54</f>
        <v>277.903747262182</v>
      </c>
      <c r="O55" s="36">
        <f>'新参数（日系）'!D54</f>
        <v>276.296833928666</v>
      </c>
      <c r="P55" s="42" t="s">
        <v>79</v>
      </c>
      <c r="Q55" s="36">
        <f>'新参数（美系）'!C54</f>
        <v>270.082947134527</v>
      </c>
      <c r="R55" s="36">
        <f>'新参数（德系）'!G54</f>
        <v>296.837204398978</v>
      </c>
      <c r="S55" s="42" t="str">
        <f t="shared" si="0"/>
        <v>hipViewKickPitchMax（扫射开火时视角的最大垂直运动度数）（正数为上）</v>
      </c>
      <c r="T55" s="36">
        <f>'新参数（美系）'!H54</f>
        <v>340.390517114753</v>
      </c>
      <c r="U55" s="36">
        <f>'新参数（德系）'!I54</f>
        <v>301.099813933356</v>
      </c>
      <c r="V55" s="42" t="s">
        <v>79</v>
      </c>
      <c r="W55" s="36">
        <f>'新参数（美系）'!I54</f>
        <v>408.388294711322</v>
      </c>
      <c r="X55" s="36">
        <f>'新参数（德系）'!F54</f>
        <v>362.765730976136</v>
      </c>
      <c r="Y55" s="36">
        <f>'新参数（苏系）'!F54</f>
        <v>362.239295250035</v>
      </c>
      <c r="Z55" s="36">
        <f>'新参数（日系）'!F54</f>
        <v>351.386762948774</v>
      </c>
      <c r="AA55" s="42" t="s">
        <v>79</v>
      </c>
      <c r="AB55" s="36">
        <f>'新参数（美系）'!D54</f>
        <v>309.081056506971</v>
      </c>
      <c r="AC55" s="36">
        <f>'新参数（德系）'!H54</f>
        <v>303.489920677648</v>
      </c>
      <c r="AD55" s="36">
        <f>'新参数（苏系）'!G54</f>
        <v>306.763370704138</v>
      </c>
      <c r="AE55" s="42" t="s">
        <v>79</v>
      </c>
      <c r="AJ55" s="42" t="s">
        <v>79</v>
      </c>
    </row>
    <row r="56" s="36" customFormat="1" ht="50.1" customHeight="1" spans="1:36">
      <c r="A56" s="42" t="str">
        <f>'新参数（美系）'!B55</f>
        <v>adsViewKickPitchMin（瞄准开火时视角的最小垂直运动度数）（正数为上）</v>
      </c>
      <c r="B56" s="36">
        <f>'新参数（美系）'!F55</f>
        <v>181.928320153222</v>
      </c>
      <c r="C56" s="36">
        <f>'新参数（德系）'!C55</f>
        <v>182.800775225754</v>
      </c>
      <c r="D56" s="36">
        <f>'新参数（苏系）'!C55</f>
        <v>186.961087118672</v>
      </c>
      <c r="E56" s="36">
        <f>'新参数（日系）'!C55</f>
        <v>181.089420534206</v>
      </c>
      <c r="F56" s="42" t="s">
        <v>80</v>
      </c>
      <c r="G56" s="36">
        <f>'新参数（美系）'!L55</f>
        <v>0</v>
      </c>
      <c r="H56" s="36">
        <f>'新参数（德系）'!K55</f>
        <v>0</v>
      </c>
      <c r="I56" s="36">
        <f>'新参数（苏系）'!I55</f>
        <v>0</v>
      </c>
      <c r="J56" s="36">
        <f>'新参数（日系）'!G55</f>
        <v>0</v>
      </c>
      <c r="K56" s="42" t="str">
        <f t="shared" si="2"/>
        <v>adsViewKickPitchMin（瞄准开火时视角的最小垂直运动度数）（正数为上）</v>
      </c>
      <c r="L56" s="36">
        <f>'新参数（美系）'!E55</f>
        <v>174.014766376346</v>
      </c>
      <c r="M56" s="36">
        <f>'新参数（德系）'!D55</f>
        <v>166.770975036336</v>
      </c>
      <c r="N56" s="36">
        <f>'新参数（苏系）'!D55</f>
        <v>169.158802681328</v>
      </c>
      <c r="O56" s="36">
        <f>'新参数（日系）'!D55</f>
        <v>168.180681521797</v>
      </c>
      <c r="P56" s="42" t="s">
        <v>80</v>
      </c>
      <c r="Q56" s="36">
        <f>'新参数（美系）'!C55</f>
        <v>164.398315647104</v>
      </c>
      <c r="R56" s="36">
        <f>'新参数（德系）'!G55</f>
        <v>180.683515721117</v>
      </c>
      <c r="S56" s="42" t="str">
        <f t="shared" si="0"/>
        <v>adsViewKickPitchMin（瞄准开火时视角的最小垂直运动度数）（正数为上）</v>
      </c>
      <c r="T56" s="36">
        <f>'新参数（美系）'!H55</f>
        <v>207.19422780898</v>
      </c>
      <c r="U56" s="36">
        <f>'新参数（德系）'!I55</f>
        <v>183.278147611608</v>
      </c>
      <c r="V56" s="42" t="s">
        <v>80</v>
      </c>
      <c r="W56" s="36">
        <f>'新参数（美系）'!I55</f>
        <v>248.5841793895</v>
      </c>
      <c r="X56" s="36">
        <f>'新参数（德系）'!F55</f>
        <v>220.813923202865</v>
      </c>
      <c r="Y56" s="36">
        <f>'新参数（苏系）'!F55</f>
        <v>220.493484065239</v>
      </c>
      <c r="Z56" s="36">
        <f>'新参数（日系）'!F55</f>
        <v>213.887594838384</v>
      </c>
      <c r="AA56" s="42" t="s">
        <v>80</v>
      </c>
      <c r="AB56" s="36">
        <f>'新参数（美系）'!D55</f>
        <v>188.136295265113</v>
      </c>
      <c r="AC56" s="36">
        <f>'新参数（德系）'!H55</f>
        <v>184.73299519509</v>
      </c>
      <c r="AD56" s="36">
        <f>'新参数（苏系）'!G55</f>
        <v>186.725529993823</v>
      </c>
      <c r="AE56" s="42" t="s">
        <v>80</v>
      </c>
      <c r="AJ56" s="42" t="s">
        <v>80</v>
      </c>
    </row>
    <row r="57" s="36" customFormat="1" ht="50.1" customHeight="1" spans="1:36">
      <c r="A57" s="42" t="str">
        <f>'新参数（美系）'!B56</f>
        <v>adsViewKickPitchMax（瞄准开火时视角的最大垂直运动度数）（正数为上）</v>
      </c>
      <c r="B57" s="36">
        <f>'新参数（美系）'!F56</f>
        <v>285.887360240777</v>
      </c>
      <c r="C57" s="36">
        <f>'新参数（德系）'!C56</f>
        <v>287.258361069042</v>
      </c>
      <c r="D57" s="36">
        <f>'新参数（苏系）'!C56</f>
        <v>293.795994043628</v>
      </c>
      <c r="E57" s="36">
        <f>'新参数（日系）'!C56</f>
        <v>284.569089410895</v>
      </c>
      <c r="F57" s="42" t="s">
        <v>81</v>
      </c>
      <c r="G57" s="36">
        <f>'新参数（美系）'!L56</f>
        <v>0</v>
      </c>
      <c r="H57" s="36">
        <f>'新参数（德系）'!K56</f>
        <v>0</v>
      </c>
      <c r="I57" s="36">
        <f>'新参数（苏系）'!I56</f>
        <v>0</v>
      </c>
      <c r="J57" s="36">
        <f>'新参数（日系）'!G56</f>
        <v>0</v>
      </c>
      <c r="K57" s="42" t="str">
        <f t="shared" si="2"/>
        <v>adsViewKickPitchMax（瞄准开火时视角的最大垂直运动度数）（正数为上）</v>
      </c>
      <c r="L57" s="36">
        <f>'新参数（美系）'!E56</f>
        <v>273.451775734258</v>
      </c>
      <c r="M57" s="36">
        <f>'新参数（德系）'!D56</f>
        <v>262.0686750571</v>
      </c>
      <c r="N57" s="36">
        <f>'新参数（苏系）'!D56</f>
        <v>265.820975642087</v>
      </c>
      <c r="O57" s="36">
        <f>'新参数（日系）'!D56</f>
        <v>264.283928105681</v>
      </c>
      <c r="P57" s="42" t="s">
        <v>81</v>
      </c>
      <c r="Q57" s="36">
        <f>'新参数（美系）'!C56</f>
        <v>258.340210302592</v>
      </c>
      <c r="R57" s="36">
        <f>'新参数（德系）'!G56</f>
        <v>283.931238990326</v>
      </c>
      <c r="S57" s="42" t="str">
        <f t="shared" si="0"/>
        <v>adsViewKickPitchMax（瞄准开火时视角的最大垂直运动度数）（正数为上）</v>
      </c>
      <c r="T57" s="36">
        <f>'新参数（美系）'!H56</f>
        <v>325.590929414111</v>
      </c>
      <c r="U57" s="36">
        <f>'新参数（德系）'!I56</f>
        <v>288.008517675384</v>
      </c>
      <c r="V57" s="42" t="s">
        <v>81</v>
      </c>
      <c r="W57" s="36">
        <f>'新参数（美系）'!I56</f>
        <v>390.632281897786</v>
      </c>
      <c r="X57" s="36">
        <f>'新参数（德系）'!F56</f>
        <v>346.993307890217</v>
      </c>
      <c r="Y57" s="36">
        <f>'新参数（苏系）'!F56</f>
        <v>346.489760673947</v>
      </c>
      <c r="Z57" s="36">
        <f>'新参数（日系）'!F56</f>
        <v>336.109077603175</v>
      </c>
      <c r="AA57" s="42" t="s">
        <v>81</v>
      </c>
      <c r="AB57" s="36">
        <f>'新参数（美系）'!D56</f>
        <v>295.64274970232</v>
      </c>
      <c r="AC57" s="36">
        <f>'新参数（德系）'!H56</f>
        <v>290.294706735142</v>
      </c>
      <c r="AD57" s="36">
        <f>'新参数（苏系）'!G56</f>
        <v>293.425832847436</v>
      </c>
      <c r="AE57" s="42" t="s">
        <v>81</v>
      </c>
      <c r="AJ57" s="42" t="s">
        <v>81</v>
      </c>
    </row>
    <row r="58" s="36" customFormat="1" ht="50.1" customHeight="1" spans="1:36">
      <c r="A58" s="42" t="str">
        <f>'新参数（美系）'!B57</f>
        <v>hipViewKickCenterSpeed（扫射开火时视角回归中心的速度）（度/s）</v>
      </c>
      <c r="B58" s="36">
        <f>'新参数（美系）'!F57</f>
        <v>1176.77953548676</v>
      </c>
      <c r="C58" s="36">
        <f>'新参数（德系）'!C57</f>
        <v>1205.56183685324</v>
      </c>
      <c r="D58" s="36">
        <f>'新参数（苏系）'!C57</f>
        <v>1487.57204531553</v>
      </c>
      <c r="E58" s="36">
        <f>'新参数（日系）'!C57</f>
        <v>1222.35663100874</v>
      </c>
      <c r="F58" s="42" t="s">
        <v>82</v>
      </c>
      <c r="G58" s="36">
        <f>'新参数（美系）'!L57</f>
        <v>0</v>
      </c>
      <c r="H58" s="36">
        <f>'新参数（德系）'!K57</f>
        <v>0</v>
      </c>
      <c r="I58" s="36">
        <f>'新参数（苏系）'!I57</f>
        <v>0</v>
      </c>
      <c r="J58" s="36">
        <f>'新参数（日系）'!G57</f>
        <v>0</v>
      </c>
      <c r="K58" s="42" t="str">
        <f t="shared" si="2"/>
        <v>hipViewKickCenterSpeed（扫射开火时视角回归中心的速度）（度/s）</v>
      </c>
      <c r="L58" s="36">
        <f>'新参数（美系）'!E57</f>
        <v>636.761909974031</v>
      </c>
      <c r="M58" s="36">
        <f>'新参数（德系）'!D57</f>
        <v>673.442875682438</v>
      </c>
      <c r="N58" s="36">
        <f>'新参数（苏系）'!D57</f>
        <v>690.068543618127</v>
      </c>
      <c r="O58" s="36">
        <f>'新参数（日系）'!D57</f>
        <v>788.884421266942</v>
      </c>
      <c r="P58" s="42" t="s">
        <v>82</v>
      </c>
      <c r="Q58" s="36">
        <f>'新参数（美系）'!C57</f>
        <v>790.788353990144</v>
      </c>
      <c r="R58" s="36">
        <f>'新参数（德系）'!G57</f>
        <v>864.332180455084</v>
      </c>
      <c r="S58" s="42" t="str">
        <f t="shared" si="0"/>
        <v>hipViewKickCenterSpeed（扫射开火时视角回归中心的速度）（度/s）</v>
      </c>
      <c r="T58" s="36">
        <f>'新参数（美系）'!H57</f>
        <v>1491.6553686025</v>
      </c>
      <c r="U58" s="36">
        <f>'新参数（德系）'!I57</f>
        <v>930.087074926098</v>
      </c>
      <c r="V58" s="42" t="s">
        <v>82</v>
      </c>
      <c r="W58" s="36">
        <f>'新参数（美系）'!I57</f>
        <v>1078.21269529599</v>
      </c>
      <c r="X58" s="36">
        <f>'新参数（德系）'!F57</f>
        <v>1554.63716576594</v>
      </c>
      <c r="Y58" s="36">
        <f>'新参数（苏系）'!F57</f>
        <v>1676.954247798</v>
      </c>
      <c r="Z58" s="36">
        <f>'新参数（日系）'!F57</f>
        <v>1437.16502713425</v>
      </c>
      <c r="AA58" s="42" t="s">
        <v>82</v>
      </c>
      <c r="AB58" s="36">
        <f>'新参数（美系）'!D57</f>
        <v>1189.21857814833</v>
      </c>
      <c r="AC58" s="36">
        <f>'新参数（德系）'!H57</f>
        <v>1250.91058345526</v>
      </c>
      <c r="AD58" s="36">
        <f>'新参数（苏系）'!G57</f>
        <v>1472.99385385976</v>
      </c>
      <c r="AE58" s="42" t="s">
        <v>82</v>
      </c>
      <c r="AJ58" s="42" t="s">
        <v>82</v>
      </c>
    </row>
    <row r="59" s="36" customFormat="1" ht="50.1" customHeight="1" spans="1:36">
      <c r="A59" s="42" t="str">
        <f>'新参数（美系）'!B58</f>
        <v>adsViewKickCenterSpeed（瞄准开火时视角回归中心的速度）（度/s）</v>
      </c>
      <c r="B59" s="36">
        <f>'新参数（美系）'!F58</f>
        <v>1190.34856973674</v>
      </c>
      <c r="C59" s="36">
        <f>'新参数（德系）'!C58</f>
        <v>1218.85053932498</v>
      </c>
      <c r="D59" s="36">
        <f>'新参数（苏系）'!C58</f>
        <v>1500.17961150065</v>
      </c>
      <c r="E59" s="36">
        <f>'新参数（日系）'!C58</f>
        <v>1235.95984075154</v>
      </c>
      <c r="F59" s="42" t="s">
        <v>83</v>
      </c>
      <c r="G59" s="36">
        <f>'新参数（美系）'!L58</f>
        <v>0</v>
      </c>
      <c r="H59" s="36">
        <f>'新参数（德系）'!K58</f>
        <v>0</v>
      </c>
      <c r="I59" s="36">
        <f>'新参数（苏系）'!I58</f>
        <v>0</v>
      </c>
      <c r="J59" s="36">
        <f>'新参数（日系）'!G58</f>
        <v>0</v>
      </c>
      <c r="K59" s="42" t="str">
        <f t="shared" si="2"/>
        <v>adsViewKickCenterSpeed（瞄准开火时视角回归中心的速度）（度/s）</v>
      </c>
      <c r="L59" s="36">
        <f>'新参数（美系）'!E58</f>
        <v>650.278160461766</v>
      </c>
      <c r="M59" s="36">
        <f>'新参数（德系）'!D58</f>
        <v>688.406660101775</v>
      </c>
      <c r="N59" s="36">
        <f>'新参数（苏系）'!D58</f>
        <v>704.696818047071</v>
      </c>
      <c r="O59" s="36">
        <f>'新参数（日系）'!D58</f>
        <v>802.846939835731</v>
      </c>
      <c r="P59" s="42" t="s">
        <v>83</v>
      </c>
      <c r="Q59" s="36">
        <f>'新参数（美系）'!C58</f>
        <v>808.153029617462</v>
      </c>
      <c r="R59" s="36">
        <f>'新参数（德系）'!G58</f>
        <v>877.096258586524</v>
      </c>
      <c r="S59" s="42" t="str">
        <f t="shared" si="0"/>
        <v>adsViewKickCenterSpeed（瞄准开火时视角回归中心的速度）（度/s）</v>
      </c>
      <c r="T59" s="36">
        <f>'新参数（美系）'!H58</f>
        <v>1500.56668963272</v>
      </c>
      <c r="U59" s="36">
        <f>'新参数（德系）'!I58</f>
        <v>942.978827069257</v>
      </c>
      <c r="V59" s="42" t="s">
        <v>83</v>
      </c>
      <c r="W59" s="36">
        <f>'新参数（美系）'!I58</f>
        <v>1083.82278431604</v>
      </c>
      <c r="X59" s="36">
        <f>'新参数（德系）'!F58</f>
        <v>1562.06761205671</v>
      </c>
      <c r="Y59" s="36">
        <f>'新参数（苏系）'!F58</f>
        <v>1684.41450345432</v>
      </c>
      <c r="Z59" s="36">
        <f>'新参数（日系）'!F58</f>
        <v>1445.19757670895</v>
      </c>
      <c r="AA59" s="42" t="s">
        <v>83</v>
      </c>
      <c r="AB59" s="36">
        <f>'新参数（美系）'!D58</f>
        <v>1201.21170141769</v>
      </c>
      <c r="AC59" s="36">
        <f>'新参数（德系）'!H58</f>
        <v>1263.72985611761</v>
      </c>
      <c r="AD59" s="36">
        <f>'新参数（苏系）'!G58</f>
        <v>1485.64125167872</v>
      </c>
      <c r="AE59" s="42" t="s">
        <v>83</v>
      </c>
      <c r="AJ59" s="42" t="s">
        <v>83</v>
      </c>
    </row>
    <row r="60" s="36" customFormat="1" ht="50.1" customHeight="1" spans="1:36">
      <c r="A60" s="42" t="str">
        <f>'新参数（美系）'!B59</f>
        <v>adsGunKickReducedKickBullets（射出去多少子弹之后枪才会产生全额后座力）</v>
      </c>
      <c r="B60" s="41">
        <f>'新参数（美系）'!F59</f>
        <v>0</v>
      </c>
      <c r="C60" s="41">
        <f>'新参数（德系）'!C59</f>
        <v>0</v>
      </c>
      <c r="D60" s="41">
        <f>'新参数（苏系）'!C59</f>
        <v>0</v>
      </c>
      <c r="E60" s="41">
        <f>'新参数（日系）'!C59</f>
        <v>0</v>
      </c>
      <c r="F60" s="40" t="s">
        <v>84</v>
      </c>
      <c r="G60" s="41">
        <f>'新参数（美系）'!L59</f>
        <v>0</v>
      </c>
      <c r="H60" s="41">
        <f>'新参数（德系）'!K59</f>
        <v>0</v>
      </c>
      <c r="I60" s="41">
        <f>'新参数（苏系）'!I59</f>
        <v>0</v>
      </c>
      <c r="J60" s="41">
        <f>'新参数（日系）'!G59</f>
        <v>0</v>
      </c>
      <c r="K60" s="40" t="str">
        <f t="shared" si="2"/>
        <v>adsGunKickReducedKickBullets（射出去多少子弹之后枪才会产生全额后座力）</v>
      </c>
      <c r="L60" s="41">
        <f>'新参数（美系）'!E59</f>
        <v>0</v>
      </c>
      <c r="M60" s="41">
        <f>'新参数（德系）'!D59</f>
        <v>0</v>
      </c>
      <c r="N60" s="41">
        <f>'新参数（苏系）'!D59</f>
        <v>0</v>
      </c>
      <c r="O60" s="41">
        <f>'新参数（日系）'!D59</f>
        <v>0</v>
      </c>
      <c r="P60" s="40" t="s">
        <v>84</v>
      </c>
      <c r="Q60" s="41">
        <f>'新参数（美系）'!C59</f>
        <v>0</v>
      </c>
      <c r="R60" s="41">
        <f>'新参数（德系）'!G59</f>
        <v>0</v>
      </c>
      <c r="S60" s="40" t="str">
        <f t="shared" si="0"/>
        <v>adsGunKickReducedKickBullets（射出去多少子弹之后枪才会产生全额后座力）</v>
      </c>
      <c r="T60" s="41">
        <f>'新参数（美系）'!H59</f>
        <v>0</v>
      </c>
      <c r="U60" s="41">
        <f>'新参数（德系）'!I59</f>
        <v>0</v>
      </c>
      <c r="V60" s="40" t="s">
        <v>84</v>
      </c>
      <c r="W60" s="41">
        <f>'新参数（美系）'!I59</f>
        <v>0</v>
      </c>
      <c r="X60" s="41">
        <f>'新参数（德系）'!F59</f>
        <v>0</v>
      </c>
      <c r="Y60" s="41">
        <f>'新参数（苏系）'!F59</f>
        <v>0</v>
      </c>
      <c r="Z60" s="41">
        <f>'新参数（日系）'!F59</f>
        <v>0</v>
      </c>
      <c r="AA60" s="40" t="s">
        <v>84</v>
      </c>
      <c r="AB60" s="41">
        <f>'新参数（美系）'!D59</f>
        <v>0</v>
      </c>
      <c r="AC60" s="41">
        <f>'新参数（德系）'!H59</f>
        <v>0</v>
      </c>
      <c r="AD60" s="41">
        <f>'新参数（苏系）'!G59</f>
        <v>0</v>
      </c>
      <c r="AE60" s="40" t="s">
        <v>84</v>
      </c>
      <c r="AJ60" s="40" t="s">
        <v>84</v>
      </c>
    </row>
    <row r="61" s="36" customFormat="1" ht="50.1" customHeight="1" spans="1:36">
      <c r="A61" s="42" t="str">
        <f>'新参数（美系）'!B60</f>
        <v>adsGunKickReducedKickPercent（非全额后座力百分数）（对应上一条）</v>
      </c>
      <c r="B61" s="41">
        <f>'新参数（美系）'!F60</f>
        <v>75</v>
      </c>
      <c r="C61" s="41">
        <f>'新参数（德系）'!C60</f>
        <v>75</v>
      </c>
      <c r="D61" s="41">
        <f>'新参数（苏系）'!C60</f>
        <v>75</v>
      </c>
      <c r="E61" s="41">
        <f>'新参数（日系）'!C60</f>
        <v>75</v>
      </c>
      <c r="F61" s="40" t="s">
        <v>85</v>
      </c>
      <c r="G61" s="41">
        <f>'新参数（美系）'!L60</f>
        <v>0</v>
      </c>
      <c r="H61" s="41">
        <f>'新参数（德系）'!K60</f>
        <v>0</v>
      </c>
      <c r="I61" s="41">
        <f>'新参数（苏系）'!I60</f>
        <v>0</v>
      </c>
      <c r="J61" s="41">
        <f>'新参数（日系）'!G60</f>
        <v>0</v>
      </c>
      <c r="K61" s="40" t="str">
        <f t="shared" si="2"/>
        <v>adsGunKickReducedKickPercent（非全额后座力百分数）（对应上一条）</v>
      </c>
      <c r="L61" s="41">
        <f>'新参数（美系）'!E60</f>
        <v>75</v>
      </c>
      <c r="M61" s="41">
        <f>'新参数（德系）'!D60</f>
        <v>75</v>
      </c>
      <c r="N61" s="41">
        <f>'新参数（苏系）'!D60</f>
        <v>75</v>
      </c>
      <c r="O61" s="41">
        <f>'新参数（日系）'!D60</f>
        <v>75</v>
      </c>
      <c r="P61" s="40" t="s">
        <v>85</v>
      </c>
      <c r="Q61" s="41">
        <f>'新参数（美系）'!C60</f>
        <v>75</v>
      </c>
      <c r="R61" s="41">
        <f>'新参数（德系）'!G60</f>
        <v>75</v>
      </c>
      <c r="S61" s="40" t="str">
        <f t="shared" si="0"/>
        <v>adsGunKickReducedKickPercent（非全额后座力百分数）（对应上一条）</v>
      </c>
      <c r="T61" s="41">
        <f>'新参数（美系）'!H60</f>
        <v>75</v>
      </c>
      <c r="U61" s="41">
        <f>'新参数（德系）'!I60</f>
        <v>75</v>
      </c>
      <c r="V61" s="40" t="s">
        <v>85</v>
      </c>
      <c r="W61" s="41">
        <f>'新参数（美系）'!I60</f>
        <v>75</v>
      </c>
      <c r="X61" s="41">
        <f>'新参数（德系）'!F60</f>
        <v>75</v>
      </c>
      <c r="Y61" s="41">
        <f>'新参数（苏系）'!F60</f>
        <v>75</v>
      </c>
      <c r="Z61" s="41">
        <f>'新参数（日系）'!F60</f>
        <v>75</v>
      </c>
      <c r="AA61" s="40" t="s">
        <v>85</v>
      </c>
      <c r="AB61" s="41">
        <f>'新参数（美系）'!D60</f>
        <v>75</v>
      </c>
      <c r="AC61" s="41">
        <f>'新参数（德系）'!H60</f>
        <v>75</v>
      </c>
      <c r="AD61" s="41">
        <f>'新参数（苏系）'!G60</f>
        <v>75</v>
      </c>
      <c r="AE61" s="40" t="s">
        <v>85</v>
      </c>
      <c r="AJ61" s="40" t="s">
        <v>85</v>
      </c>
    </row>
    <row r="62" s="36" customFormat="1" ht="50.1" customHeight="1" spans="1:36">
      <c r="A62" s="42" t="str">
        <f>'新参数（美系）'!B61</f>
        <v>gunMaxPitch（枪的最大垂直运动度数）</v>
      </c>
      <c r="B62" s="36">
        <f>'新参数（美系）'!F61</f>
        <v>20.5574439196041</v>
      </c>
      <c r="C62" s="36">
        <f>'新参数（德系）'!C61</f>
        <v>19.8881265432955</v>
      </c>
      <c r="D62" s="36">
        <f>'新参数（苏系）'!C61</f>
        <v>20.1114542567499</v>
      </c>
      <c r="E62" s="36">
        <f>'新参数（日系）'!C61</f>
        <v>18.6165738677394</v>
      </c>
      <c r="F62" s="42" t="s">
        <v>86</v>
      </c>
      <c r="G62" s="36">
        <f>'新参数（美系）'!L61</f>
        <v>0</v>
      </c>
      <c r="H62" s="36">
        <f>'新参数（德系）'!K61</f>
        <v>0</v>
      </c>
      <c r="I62" s="36">
        <f>'新参数（苏系）'!I61</f>
        <v>0</v>
      </c>
      <c r="J62" s="36">
        <f>'新参数（日系）'!G61</f>
        <v>0</v>
      </c>
      <c r="K62" s="42" t="str">
        <f t="shared" si="2"/>
        <v>gunMaxPitch（枪的最大垂直运动度数）</v>
      </c>
      <c r="L62" s="36">
        <f>'新参数（美系）'!E61</f>
        <v>7.07767035738021</v>
      </c>
      <c r="M62" s="36">
        <f>'新参数（德系）'!D61</f>
        <v>4.9179804614301</v>
      </c>
      <c r="N62" s="36">
        <f>'新参数（苏系）'!D61</f>
        <v>6.725117440384</v>
      </c>
      <c r="O62" s="36">
        <f>'新参数（日系）'!D61</f>
        <v>0.9426555280074</v>
      </c>
      <c r="P62" s="42" t="s">
        <v>86</v>
      </c>
      <c r="Q62" s="36">
        <f>'新参数（美系）'!C61</f>
        <v>12.4864313189781</v>
      </c>
      <c r="R62" s="36">
        <f>'新参数（德系）'!G61</f>
        <v>12.8200005695057</v>
      </c>
      <c r="S62" s="42" t="str">
        <f t="shared" si="0"/>
        <v>gunMaxPitch（枪的最大垂直运动度数）</v>
      </c>
      <c r="T62" s="36">
        <f>'新参数（美系）'!H61</f>
        <v>15.6974439196041</v>
      </c>
      <c r="U62" s="36">
        <f>'新参数（德系）'!I61</f>
        <v>19.0381265432955</v>
      </c>
      <c r="V62" s="42" t="s">
        <v>86</v>
      </c>
      <c r="W62" s="36">
        <f>'新参数（美系）'!I61</f>
        <v>9.49744391960409</v>
      </c>
      <c r="X62" s="36">
        <f>'新参数（德系）'!F61</f>
        <v>12.3881265432955</v>
      </c>
      <c r="Y62" s="36">
        <f>'新参数（苏系）'!F61</f>
        <v>12.6114542567499</v>
      </c>
      <c r="Z62" s="36">
        <f>'新参数（日系）'!F61</f>
        <v>12.0165738677394</v>
      </c>
      <c r="AA62" s="42" t="s">
        <v>86</v>
      </c>
      <c r="AB62" s="36">
        <f>'新参数（美系）'!D61</f>
        <v>19.1974439196041</v>
      </c>
      <c r="AC62" s="36">
        <f>'新参数（德系）'!H61</f>
        <v>19.5881265432955</v>
      </c>
      <c r="AD62" s="36">
        <f>'新参数（苏系）'!G61</f>
        <v>20.1114542567499</v>
      </c>
      <c r="AE62" s="42" t="s">
        <v>86</v>
      </c>
      <c r="AJ62" s="42" t="s">
        <v>86</v>
      </c>
    </row>
    <row r="63" s="37" customFormat="1" ht="50.1" customHeight="1" spans="1:36">
      <c r="A63" s="43" t="str">
        <f>'新参数（美系）'!B62</f>
        <v>fireTime（每发子弹射击耗时）（s）</v>
      </c>
      <c r="B63" s="41">
        <f>'新参数（美系）'!F62</f>
        <v>0.3</v>
      </c>
      <c r="C63" s="41">
        <f>'新参数（德系）'!C62</f>
        <v>0.3</v>
      </c>
      <c r="D63" s="41">
        <f>'新参数（苏系）'!C62</f>
        <v>0.3</v>
      </c>
      <c r="E63" s="41">
        <f>'新参数（日系）'!C62</f>
        <v>0.3</v>
      </c>
      <c r="F63" s="40" t="s">
        <v>88</v>
      </c>
      <c r="G63" s="41">
        <f>'新参数（美系）'!L62</f>
        <v>0</v>
      </c>
      <c r="H63" s="41">
        <f>'新参数（德系）'!K62</f>
        <v>0</v>
      </c>
      <c r="I63" s="41">
        <f>'新参数（苏系）'!I62</f>
        <v>0</v>
      </c>
      <c r="J63" s="41">
        <f>'新参数（日系）'!G62</f>
        <v>0</v>
      </c>
      <c r="K63" s="40" t="str">
        <f t="shared" si="2"/>
        <v>fireTime（每发子弹射击耗时）（s）</v>
      </c>
      <c r="L63" s="37">
        <f>'新参数（美系）'!E62</f>
        <v>0.0857142857142857</v>
      </c>
      <c r="M63" s="37">
        <f>'新参数（德系）'!D62</f>
        <v>0.109090909090909</v>
      </c>
      <c r="N63" s="37">
        <f>'新参数（苏系）'!D62</f>
        <v>0.06</v>
      </c>
      <c r="O63" s="37">
        <f>'新参数（日系）'!D62</f>
        <v>0.075</v>
      </c>
      <c r="P63" s="40" t="s">
        <v>88</v>
      </c>
      <c r="Q63" s="41">
        <f>'新参数（美系）'!C62</f>
        <v>0.15</v>
      </c>
      <c r="R63" s="41">
        <f>'新参数（德系）'!G62</f>
        <v>0.1</v>
      </c>
      <c r="S63" s="40" t="str">
        <f t="shared" si="0"/>
        <v>fireTime（每发子弹射击耗时）（s）</v>
      </c>
      <c r="T63" s="37">
        <f>'新参数（美系）'!H62</f>
        <v>0.0923076923076923</v>
      </c>
      <c r="U63" s="37">
        <f>'新参数（德系）'!I62</f>
        <v>0.08</v>
      </c>
      <c r="V63" s="40" t="s">
        <v>88</v>
      </c>
      <c r="W63" s="37">
        <f>'新参数（美系）'!I62</f>
        <v>0.1</v>
      </c>
      <c r="X63" s="37">
        <f>'新参数（德系）'!F62</f>
        <v>0.05</v>
      </c>
      <c r="Y63" s="37">
        <f>'新参数（苏系）'!F62</f>
        <v>0.109090909090909</v>
      </c>
      <c r="Z63" s="37">
        <f>'新参数（日系）'!F62</f>
        <v>0.0857142857142857</v>
      </c>
      <c r="AA63" s="40" t="s">
        <v>88</v>
      </c>
      <c r="AB63" s="41">
        <f>'新参数（美系）'!D62</f>
        <v>0.15</v>
      </c>
      <c r="AC63" s="41">
        <f>'新参数（德系）'!H62</f>
        <v>0.15</v>
      </c>
      <c r="AD63" s="41">
        <f>'新参数（苏系）'!G62</f>
        <v>0.15</v>
      </c>
      <c r="AE63" s="40" t="s">
        <v>88</v>
      </c>
      <c r="AJ63" s="40" t="s">
        <v>88</v>
      </c>
    </row>
    <row r="64" s="37" customFormat="1" ht="50.1" customHeight="1" spans="1:36">
      <c r="A64" s="43" t="str">
        <f>'新参数（美系）'!B63</f>
        <v>raiseTime（拿起耗时）（s）</v>
      </c>
      <c r="B64" s="37">
        <f>'新参数（美系）'!F63</f>
        <v>0.337568356882407</v>
      </c>
      <c r="C64" s="37">
        <f>'新参数（德系）'!C63</f>
        <v>0.34111036036036</v>
      </c>
      <c r="D64" s="37">
        <f>'新参数（苏系）'!C63</f>
        <v>0.350203571428571</v>
      </c>
      <c r="E64" s="37">
        <f>'新参数（日系）'!C63</f>
        <v>0.337144051878354</v>
      </c>
      <c r="F64" s="43" t="s">
        <v>89</v>
      </c>
      <c r="G64" s="37">
        <f>'新参数（美系）'!L63</f>
        <v>0</v>
      </c>
      <c r="H64" s="37">
        <f>'新参数（德系）'!K63</f>
        <v>0</v>
      </c>
      <c r="I64" s="37">
        <f>'新参数（苏系）'!I63</f>
        <v>0</v>
      </c>
      <c r="J64" s="37">
        <f>'新参数（日系）'!G63</f>
        <v>0</v>
      </c>
      <c r="K64" s="43" t="str">
        <f t="shared" si="2"/>
        <v>raiseTime（拿起耗时）（s）</v>
      </c>
      <c r="L64" s="37">
        <f>'新参数（美系）'!E63</f>
        <v>0.338226851851852</v>
      </c>
      <c r="M64" s="37">
        <f>'新参数（德系）'!D63</f>
        <v>0.321451515606243</v>
      </c>
      <c r="N64" s="37">
        <f>'新参数（苏系）'!D63</f>
        <v>0.325116978054567</v>
      </c>
      <c r="O64" s="37">
        <f>'新参数（日系）'!D63</f>
        <v>0.332777777777778</v>
      </c>
      <c r="P64" s="43" t="s">
        <v>89</v>
      </c>
      <c r="Q64" s="37">
        <f>'新参数（美系）'!C63</f>
        <v>0.298402777777778</v>
      </c>
      <c r="R64" s="37">
        <f>'新参数（德系）'!G63</f>
        <v>0.348049867021276</v>
      </c>
      <c r="S64" s="43" t="str">
        <f t="shared" si="0"/>
        <v>raiseTime（拿起耗时）（s）</v>
      </c>
      <c r="T64" s="37">
        <f>'新参数（美系）'!H63</f>
        <v>0.416548096707819</v>
      </c>
      <c r="U64" s="37">
        <f>'新参数（德系）'!I63</f>
        <v>0.346322115384615</v>
      </c>
      <c r="V64" s="43" t="s">
        <v>89</v>
      </c>
      <c r="W64" s="37">
        <f>'新参数（美系）'!I63</f>
        <v>0.524990352697095</v>
      </c>
      <c r="X64" s="37">
        <f>'新参数（德系）'!F63</f>
        <v>0.456172131147541</v>
      </c>
      <c r="Y64" s="37">
        <f>'新参数（苏系）'!F63</f>
        <v>0.455259842519685</v>
      </c>
      <c r="Z64" s="37">
        <f>'新参数（日系）'!F63</f>
        <v>0.438742284081287</v>
      </c>
      <c r="AA64" s="43" t="s">
        <v>89</v>
      </c>
      <c r="AB64" s="37">
        <f>'新参数（美系）'!D63</f>
        <v>0.3590625</v>
      </c>
      <c r="AC64" s="37">
        <f>'新参数（德系）'!H63</f>
        <v>0.347299778761063</v>
      </c>
      <c r="AD64" s="37">
        <f>'新参数（苏系）'!G63</f>
        <v>0.349651672104405</v>
      </c>
      <c r="AE64" s="43" t="s">
        <v>89</v>
      </c>
      <c r="AJ64" s="43" t="s">
        <v>89</v>
      </c>
    </row>
    <row r="65" s="37" customFormat="1" ht="50.1" customHeight="1" spans="1:36">
      <c r="A65" s="43" t="str">
        <f>'新参数（美系）'!B64</f>
        <v>dropTime（放下耗时）（s）</v>
      </c>
      <c r="B65" s="37">
        <f>'新参数（美系）'!F64</f>
        <v>0.253176267661805</v>
      </c>
      <c r="C65" s="37">
        <f>'新参数（德系）'!C64</f>
        <v>0.25583277027027</v>
      </c>
      <c r="D65" s="37">
        <f>'新参数（苏系）'!C64</f>
        <v>0.262652678571429</v>
      </c>
      <c r="E65" s="37">
        <f>'新参数（日系）'!C64</f>
        <v>0.252858038908765</v>
      </c>
      <c r="F65" s="43" t="s">
        <v>90</v>
      </c>
      <c r="G65" s="37">
        <f>'新参数（美系）'!L64</f>
        <v>0</v>
      </c>
      <c r="H65" s="37">
        <f>'新参数（德系）'!K64</f>
        <v>0</v>
      </c>
      <c r="I65" s="37">
        <f>'新参数（苏系）'!I64</f>
        <v>0</v>
      </c>
      <c r="J65" s="37">
        <f>'新参数（日系）'!G64</f>
        <v>0</v>
      </c>
      <c r="K65" s="43" t="str">
        <f t="shared" si="2"/>
        <v>dropTime（放下耗时）（s）</v>
      </c>
      <c r="L65" s="37">
        <f>'新参数（美系）'!E64</f>
        <v>0.253670138888889</v>
      </c>
      <c r="M65" s="37">
        <f>'新参数（德系）'!D64</f>
        <v>0.241088636704682</v>
      </c>
      <c r="N65" s="37">
        <f>'新参数（苏系）'!D64</f>
        <v>0.243837733540925</v>
      </c>
      <c r="O65" s="37">
        <f>'新参数（日系）'!D64</f>
        <v>0.249583333333333</v>
      </c>
      <c r="P65" s="43" t="s">
        <v>90</v>
      </c>
      <c r="Q65" s="37">
        <f>'新参数（美系）'!C64</f>
        <v>0.223802083333333</v>
      </c>
      <c r="R65" s="37">
        <f>'新参数（德系）'!G64</f>
        <v>0.261037400265957</v>
      </c>
      <c r="S65" s="43" t="str">
        <f t="shared" si="0"/>
        <v>dropTime（放下耗时）（s）</v>
      </c>
      <c r="T65" s="37">
        <f>'新参数（美系）'!H64</f>
        <v>0.312411072530864</v>
      </c>
      <c r="U65" s="37">
        <f>'新参数（德系）'!I64</f>
        <v>0.259741586538461</v>
      </c>
      <c r="V65" s="43" t="s">
        <v>90</v>
      </c>
      <c r="W65" s="37">
        <f>'新参数（美系）'!I64</f>
        <v>0.393742764522821</v>
      </c>
      <c r="X65" s="37">
        <f>'新参数（德系）'!F64</f>
        <v>0.342129098360656</v>
      </c>
      <c r="Y65" s="37">
        <f>'新参数（苏系）'!F64</f>
        <v>0.341444881889764</v>
      </c>
      <c r="Z65" s="37">
        <f>'新参数（日系）'!F64</f>
        <v>0.329056713060966</v>
      </c>
      <c r="AA65" s="43" t="s">
        <v>90</v>
      </c>
      <c r="AB65" s="37">
        <f>'新参数（美系）'!D64</f>
        <v>0.269296875</v>
      </c>
      <c r="AC65" s="37">
        <f>'新参数（德系）'!H64</f>
        <v>0.260474834070797</v>
      </c>
      <c r="AD65" s="37">
        <f>'新参数（苏系）'!G64</f>
        <v>0.262238754078304</v>
      </c>
      <c r="AE65" s="43" t="s">
        <v>90</v>
      </c>
      <c r="AJ65" s="43" t="s">
        <v>90</v>
      </c>
    </row>
    <row r="66" s="37" customFormat="1" ht="50.1" customHeight="1" spans="1:36">
      <c r="A66" s="43" t="str">
        <f>'新参数（美系）'!B65</f>
        <v>Start raiseTime（初次拿起耗时）（s）</v>
      </c>
      <c r="B66" s="37">
        <f>'新参数（美系）'!F65</f>
        <v>0.421960446103008</v>
      </c>
      <c r="C66" s="37">
        <f>'新参数（德系）'!C65</f>
        <v>0.42638795045045</v>
      </c>
      <c r="D66" s="37">
        <f>'新参数（苏系）'!C65</f>
        <v>0.437754464285714</v>
      </c>
      <c r="E66" s="37">
        <f>'新参数（日系）'!C65</f>
        <v>0.421430064847942</v>
      </c>
      <c r="F66" s="43" t="s">
        <v>91</v>
      </c>
      <c r="G66" s="37">
        <f>'新参数（美系）'!L65</f>
        <v>0</v>
      </c>
      <c r="H66" s="37">
        <f>'新参数（德系）'!K65</f>
        <v>0</v>
      </c>
      <c r="I66" s="37">
        <f>'新参数（苏系）'!I65</f>
        <v>0</v>
      </c>
      <c r="J66" s="37">
        <f>'新参数（日系）'!G65</f>
        <v>0</v>
      </c>
      <c r="K66" s="43" t="str">
        <f t="shared" si="2"/>
        <v>Start raiseTime（初次拿起耗时）（s）</v>
      </c>
      <c r="L66" s="37">
        <f>'新参数（美系）'!E65</f>
        <v>0.422783564814815</v>
      </c>
      <c r="M66" s="37">
        <f>'新参数（德系）'!D65</f>
        <v>0.401814394507803</v>
      </c>
      <c r="N66" s="37">
        <f>'新参数（苏系）'!D65</f>
        <v>0.406396222568209</v>
      </c>
      <c r="O66" s="37">
        <f>'新参数（日系）'!D65</f>
        <v>0.415972222222222</v>
      </c>
      <c r="P66" s="43" t="s">
        <v>91</v>
      </c>
      <c r="Q66" s="37">
        <f>'新参数（美系）'!C65</f>
        <v>0.373003472222222</v>
      </c>
      <c r="R66" s="37">
        <f>'新参数（德系）'!G65</f>
        <v>0.435062333776595</v>
      </c>
      <c r="S66" s="43" t="str">
        <f t="shared" si="0"/>
        <v>Start raiseTime（初次拿起耗时）（s）</v>
      </c>
      <c r="T66" s="37">
        <f>'新参数（美系）'!H65</f>
        <v>0.520685120884774</v>
      </c>
      <c r="U66" s="37">
        <f>'新参数（德系）'!I65</f>
        <v>0.432902644230769</v>
      </c>
      <c r="V66" s="43" t="s">
        <v>91</v>
      </c>
      <c r="W66" s="37">
        <f>'新参数（美系）'!I65</f>
        <v>0.656237940871369</v>
      </c>
      <c r="X66" s="37">
        <f>'新参数（德系）'!F65</f>
        <v>0.570215163934426</v>
      </c>
      <c r="Y66" s="37">
        <f>'新参数（苏系）'!F65</f>
        <v>0.569074803149606</v>
      </c>
      <c r="Z66" s="37">
        <f>'新参数（日系）'!F65</f>
        <v>0.548427855101609</v>
      </c>
      <c r="AA66" s="43" t="s">
        <v>91</v>
      </c>
      <c r="AB66" s="37">
        <f>'新参数（美系）'!D65</f>
        <v>0.448828125</v>
      </c>
      <c r="AC66" s="37">
        <f>'新参数（德系）'!H65</f>
        <v>0.434124723451328</v>
      </c>
      <c r="AD66" s="37">
        <f>'新参数（苏系）'!G65</f>
        <v>0.437064590130506</v>
      </c>
      <c r="AE66" s="43" t="s">
        <v>91</v>
      </c>
      <c r="AJ66" s="43" t="s">
        <v>91</v>
      </c>
    </row>
    <row r="67" s="36" customFormat="1" ht="50.1" customHeight="1" spans="1:36">
      <c r="A67" s="42" t="str">
        <f>'新参数（美系）'!B66</f>
        <v>explosionInnerDamage
（爆炸半径内伤害）</v>
      </c>
      <c r="B67" s="36">
        <f>'新参数（美系）'!F66</f>
        <v>390.525</v>
      </c>
      <c r="C67" s="36">
        <f>'新参数（德系）'!C66</f>
        <v>396</v>
      </c>
      <c r="D67" s="36">
        <f>'新参数（苏系）'!C66</f>
        <v>361.95</v>
      </c>
      <c r="E67" s="36">
        <f>'新参数（日系）'!C66</f>
        <v>308</v>
      </c>
      <c r="F67" s="42" t="s">
        <v>93</v>
      </c>
      <c r="G67" s="36">
        <f>'新参数（美系）'!L66</f>
        <v>0</v>
      </c>
      <c r="H67" s="36">
        <f>'新参数（德系）'!K66</f>
        <v>0</v>
      </c>
      <c r="I67" s="36">
        <f>'新参数（苏系）'!I66</f>
        <v>0</v>
      </c>
      <c r="J67" s="36">
        <f>'新参数（日系）'!G66</f>
        <v>0</v>
      </c>
      <c r="K67" s="42" t="str">
        <f t="shared" si="2"/>
        <v>explosionInnerDamage
（爆炸半径内伤害）</v>
      </c>
      <c r="L67" s="36">
        <f>'新参数（美系）'!E66</f>
        <v>228.6</v>
      </c>
      <c r="M67" s="36">
        <f>'新参数（德系）'!D66</f>
        <v>168.75</v>
      </c>
      <c r="N67" s="36">
        <f>'新参数（苏系）'!D66</f>
        <v>209.55</v>
      </c>
      <c r="O67" s="36">
        <f>'新参数（日系）'!D66</f>
        <v>110</v>
      </c>
      <c r="P67" s="42" t="s">
        <v>93</v>
      </c>
      <c r="Q67" s="41">
        <f>'新参数（美系）'!C66</f>
        <v>257.175</v>
      </c>
      <c r="R67" s="41">
        <f>'新参数（德系）'!G66</f>
        <v>287.1</v>
      </c>
      <c r="S67" s="42" t="str">
        <f t="shared" ref="S67:S77" si="3">K67</f>
        <v>explosionInnerDamage
（爆炸半径内伤害）</v>
      </c>
      <c r="T67" s="36">
        <f>'新参数（美系）'!H66</f>
        <v>390.525</v>
      </c>
      <c r="U67" s="36">
        <f>'新参数（德系）'!I66</f>
        <v>396</v>
      </c>
      <c r="V67" s="42" t="s">
        <v>93</v>
      </c>
      <c r="W67" s="36">
        <f>'新参数（美系）'!I66</f>
        <v>390.525</v>
      </c>
      <c r="X67" s="36">
        <f>'新参数（德系）'!F66</f>
        <v>396</v>
      </c>
      <c r="Y67" s="36">
        <f>'新参数（苏系）'!F66</f>
        <v>361.95</v>
      </c>
      <c r="Z67" s="36">
        <f>'新参数（日系）'!F66</f>
        <v>308</v>
      </c>
      <c r="AA67" s="42" t="s">
        <v>93</v>
      </c>
      <c r="AB67" s="36">
        <f>'新参数（美系）'!D66</f>
        <v>390.525</v>
      </c>
      <c r="AC67" s="36">
        <f>'新参数（德系）'!H66</f>
        <v>396</v>
      </c>
      <c r="AD67" s="36">
        <f>'新参数（苏系）'!G66</f>
        <v>361.95</v>
      </c>
      <c r="AE67" s="42" t="s">
        <v>93</v>
      </c>
      <c r="AJ67" s="42" t="s">
        <v>93</v>
      </c>
    </row>
    <row r="68" s="36" customFormat="1" ht="50.1" customHeight="1" spans="1:36">
      <c r="A68" s="42" t="str">
        <f>'新参数（美系）'!B67</f>
        <v>explosionOuterDamage
（爆炸半径边缘伤害）</v>
      </c>
      <c r="B68" s="36">
        <f>'新参数（美系）'!F67</f>
        <v>390.525</v>
      </c>
      <c r="C68" s="36">
        <f>'新参数（德系）'!C67</f>
        <v>396</v>
      </c>
      <c r="D68" s="36">
        <f>'新参数（苏系）'!C67</f>
        <v>361.95</v>
      </c>
      <c r="E68" s="36">
        <f>'新参数（日系）'!C67</f>
        <v>308</v>
      </c>
      <c r="F68" s="42" t="s">
        <v>94</v>
      </c>
      <c r="G68" s="36">
        <f>'新参数（美系）'!L67</f>
        <v>0</v>
      </c>
      <c r="H68" s="36">
        <f>'新参数（德系）'!K67</f>
        <v>0</v>
      </c>
      <c r="I68" s="36">
        <f>'新参数（苏系）'!I67</f>
        <v>0</v>
      </c>
      <c r="J68" s="36">
        <f>'新参数（日系）'!G67</f>
        <v>0</v>
      </c>
      <c r="K68" s="42" t="str">
        <f t="shared" si="2"/>
        <v>explosionOuterDamage
（爆炸半径边缘伤害）</v>
      </c>
      <c r="L68" s="36">
        <f>'新参数（美系）'!E67</f>
        <v>228.6</v>
      </c>
      <c r="M68" s="36">
        <f>'新参数（德系）'!D67</f>
        <v>168.75</v>
      </c>
      <c r="N68" s="36">
        <f>'新参数（苏系）'!D67</f>
        <v>209.55</v>
      </c>
      <c r="O68" s="36">
        <f>'新参数（日系）'!D67</f>
        <v>110</v>
      </c>
      <c r="P68" s="42" t="s">
        <v>94</v>
      </c>
      <c r="Q68" s="41">
        <f>'新参数（美系）'!C67</f>
        <v>257.175</v>
      </c>
      <c r="R68" s="41">
        <f>'新参数（德系）'!G67</f>
        <v>287.1</v>
      </c>
      <c r="S68" s="42" t="str">
        <f t="shared" si="3"/>
        <v>explosionOuterDamage
（爆炸半径边缘伤害）</v>
      </c>
      <c r="T68" s="36">
        <f>'新参数（美系）'!H67</f>
        <v>390.525</v>
      </c>
      <c r="U68" s="36">
        <f>'新参数（德系）'!I67</f>
        <v>396</v>
      </c>
      <c r="V68" s="42" t="s">
        <v>94</v>
      </c>
      <c r="W68" s="36">
        <f>'新参数（美系）'!I67</f>
        <v>390.525</v>
      </c>
      <c r="X68" s="36">
        <f>'新参数（德系）'!F67</f>
        <v>396</v>
      </c>
      <c r="Y68" s="36">
        <f>'新参数（苏系）'!F67</f>
        <v>361.95</v>
      </c>
      <c r="Z68" s="36">
        <f>'新参数（日系）'!F67</f>
        <v>308</v>
      </c>
      <c r="AA68" s="42" t="s">
        <v>94</v>
      </c>
      <c r="AB68" s="36">
        <f>'新参数（美系）'!D67</f>
        <v>390.525</v>
      </c>
      <c r="AC68" s="36">
        <f>'新参数（德系）'!H67</f>
        <v>396</v>
      </c>
      <c r="AD68" s="36">
        <f>'新参数（苏系）'!G67</f>
        <v>361.95</v>
      </c>
      <c r="AE68" s="42" t="s">
        <v>94</v>
      </c>
      <c r="AJ68" s="42" t="s">
        <v>94</v>
      </c>
    </row>
    <row r="69" ht="50.1" customHeight="1" spans="1:40">
      <c r="A69" s="40" t="str">
        <f>'新参数（美系）'!B68</f>
        <v>explosionRadius
（爆炸半径）（英寸）</v>
      </c>
      <c r="B69" s="41">
        <f>'新参数（美系）'!F68</f>
        <v>0.3</v>
      </c>
      <c r="C69" s="41">
        <f>'新参数（德系）'!C68</f>
        <v>0.31</v>
      </c>
      <c r="D69" s="41">
        <f>'新参数（苏系）'!C68</f>
        <v>0.3</v>
      </c>
      <c r="E69" s="41">
        <f>'新参数（日系）'!C68</f>
        <v>0.3</v>
      </c>
      <c r="F69" s="40" t="s">
        <v>95</v>
      </c>
      <c r="G69" s="41">
        <f>'新参数（美系）'!L68</f>
        <v>0</v>
      </c>
      <c r="H69" s="41">
        <f>'新参数（德系）'!K68</f>
        <v>0</v>
      </c>
      <c r="I69" s="41">
        <f>'新参数（苏系）'!I68</f>
        <v>0</v>
      </c>
      <c r="J69" s="41">
        <f>'新参数（日系）'!G68</f>
        <v>0</v>
      </c>
      <c r="K69" s="40" t="str">
        <f t="shared" si="2"/>
        <v>explosionRadius
（爆炸半径）（英寸）</v>
      </c>
      <c r="L69" s="41">
        <f>'新参数（美系）'!E68</f>
        <v>0.45</v>
      </c>
      <c r="M69" s="41">
        <f>'新参数（德系）'!D68</f>
        <v>0.35</v>
      </c>
      <c r="N69" s="41">
        <f>'新参数（苏系）'!D68</f>
        <v>0.3</v>
      </c>
      <c r="O69" s="41">
        <f>'新参数（日系）'!D68</f>
        <v>0.31</v>
      </c>
      <c r="P69" s="40" t="s">
        <v>95</v>
      </c>
      <c r="Q69" s="41">
        <f>'新参数（美系）'!C68</f>
        <v>0.3</v>
      </c>
      <c r="R69" s="41">
        <f>'新参数（德系）'!G68</f>
        <v>0.31</v>
      </c>
      <c r="S69" s="40" t="str">
        <f t="shared" si="3"/>
        <v>explosionRadius
（爆炸半径）（英寸）</v>
      </c>
      <c r="T69" s="41">
        <f>'新参数（美系）'!H68</f>
        <v>0.3</v>
      </c>
      <c r="U69" s="41">
        <f>'新参数（德系）'!I68</f>
        <v>0.31</v>
      </c>
      <c r="V69" s="40" t="s">
        <v>95</v>
      </c>
      <c r="W69" s="41">
        <f>'新参数（美系）'!I68</f>
        <v>0.3</v>
      </c>
      <c r="X69" s="41">
        <f>'新参数（德系）'!F68</f>
        <v>0.31</v>
      </c>
      <c r="Y69" s="41">
        <f>'新参数（苏系）'!F68</f>
        <v>0.31</v>
      </c>
      <c r="Z69" s="41">
        <f>'新参数（日系）'!F68</f>
        <v>0.31</v>
      </c>
      <c r="AA69" s="40" t="s">
        <v>95</v>
      </c>
      <c r="AB69" s="41">
        <f>'新参数（美系）'!D68</f>
        <v>0.3</v>
      </c>
      <c r="AC69" s="41">
        <f>'新参数（德系）'!H68</f>
        <v>0.31</v>
      </c>
      <c r="AD69" s="41">
        <f>'新参数（苏系）'!G68</f>
        <v>0.31</v>
      </c>
      <c r="AE69" s="40" t="s">
        <v>95</v>
      </c>
      <c r="AJ69" s="40" t="s">
        <v>95</v>
      </c>
      <c r="AK69"/>
      <c r="AL69"/>
      <c r="AM69"/>
      <c r="AN69"/>
    </row>
    <row r="70" ht="50.1" customHeight="1" spans="1:40">
      <c r="A70" s="40" t="str">
        <f>'新参数（美系）'!B69</f>
        <v>damageConeAngle
（爆炸方向）（度）</v>
      </c>
      <c r="B70" s="41">
        <f>'新参数（美系）'!F69</f>
        <v>180</v>
      </c>
      <c r="C70" s="41">
        <f>'新参数（德系）'!C69</f>
        <v>180</v>
      </c>
      <c r="D70" s="41">
        <f>'新参数（苏系）'!C69</f>
        <v>180</v>
      </c>
      <c r="E70" s="41">
        <f>'新参数（日系）'!C69</f>
        <v>180</v>
      </c>
      <c r="F70" s="40" t="s">
        <v>96</v>
      </c>
      <c r="G70" s="41">
        <f>'新参数（美系）'!L69</f>
        <v>0</v>
      </c>
      <c r="H70" s="41">
        <f>'新参数（德系）'!K69</f>
        <v>0</v>
      </c>
      <c r="I70" s="41">
        <f>'新参数（苏系）'!I69</f>
        <v>0</v>
      </c>
      <c r="J70" s="41">
        <f>'新参数（日系）'!G69</f>
        <v>0</v>
      </c>
      <c r="K70" s="40" t="str">
        <f t="shared" si="2"/>
        <v>damageConeAngle
（爆炸方向）（度）</v>
      </c>
      <c r="L70" s="41">
        <f>'新参数（美系）'!E69</f>
        <v>180</v>
      </c>
      <c r="M70" s="41">
        <f>'新参数（德系）'!D69</f>
        <v>180</v>
      </c>
      <c r="N70" s="41">
        <f>'新参数（苏系）'!D69</f>
        <v>180</v>
      </c>
      <c r="O70" s="41">
        <f>'新参数（日系）'!D69</f>
        <v>180</v>
      </c>
      <c r="P70" s="40" t="s">
        <v>96</v>
      </c>
      <c r="Q70" s="41">
        <f>'新参数（美系）'!C69</f>
        <v>180</v>
      </c>
      <c r="R70" s="41">
        <f>'新参数（德系）'!G69</f>
        <v>180</v>
      </c>
      <c r="S70" s="40" t="str">
        <f t="shared" si="3"/>
        <v>damageConeAngle
（爆炸方向）（度）</v>
      </c>
      <c r="T70" s="41">
        <f>'新参数（美系）'!H69</f>
        <v>180</v>
      </c>
      <c r="U70" s="41">
        <f>'新参数（德系）'!I69</f>
        <v>180</v>
      </c>
      <c r="V70" s="40" t="s">
        <v>96</v>
      </c>
      <c r="W70" s="41">
        <f>'新参数（美系）'!I69</f>
        <v>180</v>
      </c>
      <c r="X70" s="41">
        <f>'新参数（德系）'!F69</f>
        <v>180</v>
      </c>
      <c r="Y70" s="41">
        <f>'新参数（苏系）'!F69</f>
        <v>180</v>
      </c>
      <c r="Z70" s="41">
        <f>'新参数（日系）'!F69</f>
        <v>180</v>
      </c>
      <c r="AA70" s="40" t="s">
        <v>96</v>
      </c>
      <c r="AB70" s="41">
        <f>'新参数（美系）'!D69</f>
        <v>180</v>
      </c>
      <c r="AC70" s="41">
        <f>'新参数（德系）'!H69</f>
        <v>180</v>
      </c>
      <c r="AD70" s="41">
        <f>'新参数（苏系）'!G69</f>
        <v>180</v>
      </c>
      <c r="AE70" s="40" t="s">
        <v>96</v>
      </c>
      <c r="AJ70" s="40" t="s">
        <v>96</v>
      </c>
      <c r="AK70"/>
      <c r="AL70"/>
      <c r="AM70"/>
      <c r="AN70"/>
    </row>
    <row r="71" s="36" customFormat="1" ht="50.1" customHeight="1" spans="1:36">
      <c r="A71" s="42" t="str">
        <f>'新参数（美系）'!B70</f>
        <v>projectileSpeed
（抛射物飞行速度）（英寸/s）</v>
      </c>
      <c r="B71" s="36">
        <f>'新参数（美系）'!F70</f>
        <v>33621.98</v>
      </c>
      <c r="C71" s="36">
        <f>'新参数（德系）'!C70</f>
        <v>29921.2</v>
      </c>
      <c r="D71" s="36">
        <f>'新参数（苏系）'!C70</f>
        <v>31496</v>
      </c>
      <c r="E71" s="36">
        <f>'新参数（日系）'!C70</f>
        <v>28740.1</v>
      </c>
      <c r="F71" s="42" t="s">
        <v>97</v>
      </c>
      <c r="G71" s="36">
        <f>'新参数（美系）'!L70</f>
        <v>0</v>
      </c>
      <c r="H71" s="36">
        <f>'新参数（德系）'!K70</f>
        <v>0</v>
      </c>
      <c r="I71" s="36">
        <f>'新参数（苏系）'!I70</f>
        <v>0</v>
      </c>
      <c r="J71" s="36">
        <f>'新参数（日系）'!G70</f>
        <v>0</v>
      </c>
      <c r="K71" s="42" t="str">
        <f t="shared" si="2"/>
        <v>projectileSpeed
（抛射物飞行速度）（英寸/s）</v>
      </c>
      <c r="L71" s="36">
        <f>'新参数（美系）'!E70</f>
        <v>11220.45</v>
      </c>
      <c r="M71" s="36">
        <f>'新参数（德系）'!D70</f>
        <v>11811</v>
      </c>
      <c r="N71" s="36">
        <f>'新参数（苏系）'!D70</f>
        <v>19212.56</v>
      </c>
      <c r="O71" s="36">
        <f>'新参数（日系）'!D70</f>
        <v>13188.95</v>
      </c>
      <c r="P71" s="42" t="s">
        <v>97</v>
      </c>
      <c r="Q71" s="41">
        <f>'新参数（美系）'!C70</f>
        <v>23897.59</v>
      </c>
      <c r="R71" s="41">
        <f>'新参数（德系）'!G70</f>
        <v>26968.45</v>
      </c>
      <c r="S71" s="42" t="str">
        <f t="shared" si="3"/>
        <v>projectileSpeed
（抛射物飞行速度）（英寸/s）</v>
      </c>
      <c r="T71" s="36">
        <f>'新参数（美系）'!H70</f>
        <v>33858.2</v>
      </c>
      <c r="U71" s="36">
        <f>'新参数（德系）'!I70</f>
        <v>29133.8</v>
      </c>
      <c r="V71" s="42" t="s">
        <v>97</v>
      </c>
      <c r="W71" s="36">
        <f>'新参数（美系）'!I70</f>
        <v>33464.5</v>
      </c>
      <c r="X71" s="36">
        <f>'新参数（德系）'!F70</f>
        <v>29133.8</v>
      </c>
      <c r="Y71" s="36">
        <f>'新参数（苏系）'!F70</f>
        <v>33070.8</v>
      </c>
      <c r="Z71" s="36">
        <f>'新参数（日系）'!F70</f>
        <v>28740.1</v>
      </c>
      <c r="AA71" s="42" t="s">
        <v>97</v>
      </c>
      <c r="AB71" s="36">
        <f>'新参数（美系）'!D70</f>
        <v>33582.61</v>
      </c>
      <c r="AC71" s="36">
        <f>'新参数（德系）'!H70</f>
        <v>30551.12</v>
      </c>
      <c r="AD71" s="36">
        <f>'新参数（苏系）'!G70</f>
        <v>33070.8</v>
      </c>
      <c r="AE71" s="42" t="s">
        <v>97</v>
      </c>
      <c r="AJ71" s="42" t="s">
        <v>97</v>
      </c>
    </row>
    <row r="72" ht="50.1" customHeight="1" spans="1:40">
      <c r="A72" s="40" t="str">
        <f>'新参数（美系）'!B71</f>
        <v>proImpactExplode（触炸引信）</v>
      </c>
      <c r="B72" s="41" t="str">
        <f>'新参数（美系）'!F71</f>
        <v>√</v>
      </c>
      <c r="C72" s="41" t="str">
        <f>'新参数（德系）'!C71</f>
        <v>√</v>
      </c>
      <c r="D72" s="41" t="str">
        <f>'新参数（苏系）'!C71</f>
        <v>√</v>
      </c>
      <c r="E72" s="41" t="str">
        <f>'新参数（日系）'!C71</f>
        <v>√</v>
      </c>
      <c r="F72" s="40" t="s">
        <v>98</v>
      </c>
      <c r="G72" s="41">
        <f>'新参数（美系）'!L71</f>
        <v>0</v>
      </c>
      <c r="H72" s="41">
        <f>'新参数（德系）'!K71</f>
        <v>0</v>
      </c>
      <c r="I72" s="41">
        <f>'新参数（苏系）'!I71</f>
        <v>0</v>
      </c>
      <c r="J72" s="41">
        <f>'新参数（日系）'!G71</f>
        <v>0</v>
      </c>
      <c r="K72" s="40" t="str">
        <f t="shared" si="2"/>
        <v>proImpactExplode（触炸引信）</v>
      </c>
      <c r="L72" s="41" t="str">
        <f>'新参数（美系）'!E71</f>
        <v>√</v>
      </c>
      <c r="M72" s="41" t="str">
        <f>'新参数（德系）'!D71</f>
        <v>√</v>
      </c>
      <c r="N72" s="41" t="str">
        <f>'新参数（苏系）'!D71</f>
        <v>√</v>
      </c>
      <c r="O72" s="41" t="str">
        <f>'新参数（日系）'!D71</f>
        <v>√</v>
      </c>
      <c r="P72" s="40" t="s">
        <v>98</v>
      </c>
      <c r="Q72" s="41" t="str">
        <f>'新参数（美系）'!C71</f>
        <v>√</v>
      </c>
      <c r="R72" s="41" t="str">
        <f>'新参数（德系）'!G71</f>
        <v>√</v>
      </c>
      <c r="S72" s="40" t="str">
        <f t="shared" si="3"/>
        <v>proImpactExplode（触炸引信）</v>
      </c>
      <c r="T72" s="41" t="str">
        <f>'新参数（美系）'!H71</f>
        <v>√</v>
      </c>
      <c r="U72" s="41" t="str">
        <f>'新参数（德系）'!I71</f>
        <v>√</v>
      </c>
      <c r="V72" s="40" t="s">
        <v>98</v>
      </c>
      <c r="W72" s="41" t="str">
        <f>'新参数（美系）'!I71</f>
        <v>√</v>
      </c>
      <c r="X72" s="41" t="str">
        <f>'新参数（德系）'!F71</f>
        <v>√</v>
      </c>
      <c r="Y72" s="41" t="str">
        <f>'新参数（苏系）'!F71</f>
        <v>√</v>
      </c>
      <c r="Z72" s="41" t="str">
        <f>'新参数（日系）'!F71</f>
        <v>√</v>
      </c>
      <c r="AA72" s="40" t="s">
        <v>98</v>
      </c>
      <c r="AB72" s="41" t="str">
        <f>'新参数（美系）'!D71</f>
        <v>√</v>
      </c>
      <c r="AC72" s="41" t="str">
        <f>'新参数（德系）'!H71</f>
        <v>√</v>
      </c>
      <c r="AD72" s="41" t="str">
        <f>'新参数（苏系）'!G71</f>
        <v>√</v>
      </c>
      <c r="AE72" s="40" t="s">
        <v>98</v>
      </c>
      <c r="AJ72" s="40" t="s">
        <v>98</v>
      </c>
      <c r="AK72"/>
      <c r="AL72"/>
      <c r="AM72"/>
      <c r="AN72"/>
    </row>
    <row r="73" ht="50.1" customHeight="1" spans="1:40">
      <c r="A73" s="40" t="str">
        <f>'新参数（美系）'!B72</f>
        <v>destabilizationRateTime
（失准效应持续时间）（s）</v>
      </c>
      <c r="B73" s="41">
        <f>'新参数（美系）'!F72</f>
        <v>1</v>
      </c>
      <c r="C73" s="41">
        <f>'新参数（德系）'!C72</f>
        <v>1</v>
      </c>
      <c r="D73" s="41">
        <f>'新参数（苏系）'!C72</f>
        <v>1</v>
      </c>
      <c r="E73" s="41">
        <f>'新参数（日系）'!C72</f>
        <v>1</v>
      </c>
      <c r="F73" s="40" t="s">
        <v>99</v>
      </c>
      <c r="G73" s="41">
        <f>'新参数（美系）'!L72</f>
        <v>0</v>
      </c>
      <c r="H73" s="41">
        <f>'新参数（德系）'!K72</f>
        <v>0</v>
      </c>
      <c r="I73" s="41">
        <f>'新参数（苏系）'!I72</f>
        <v>0</v>
      </c>
      <c r="J73" s="41">
        <f>'新参数（日系）'!G72</f>
        <v>0</v>
      </c>
      <c r="K73" s="40" t="str">
        <f t="shared" si="2"/>
        <v>destabilizationRateTime
（失准效应持续时间）（s）</v>
      </c>
      <c r="L73" s="41">
        <f>'新参数（美系）'!E72</f>
        <v>1</v>
      </c>
      <c r="M73" s="41">
        <f>'新参数（德系）'!D72</f>
        <v>1</v>
      </c>
      <c r="N73" s="41">
        <f>'新参数（苏系）'!D72</f>
        <v>1</v>
      </c>
      <c r="O73" s="41">
        <f>'新参数（日系）'!D72</f>
        <v>1</v>
      </c>
      <c r="P73" s="40" t="s">
        <v>99</v>
      </c>
      <c r="Q73" s="41">
        <f>'新参数（美系）'!C72</f>
        <v>1</v>
      </c>
      <c r="R73" s="41">
        <f>'新参数（德系）'!G72</f>
        <v>1</v>
      </c>
      <c r="S73" s="40" t="str">
        <f t="shared" si="3"/>
        <v>destabilizationRateTime
（失准效应持续时间）（s）</v>
      </c>
      <c r="T73" s="41">
        <f>'新参数（美系）'!H72</f>
        <v>1</v>
      </c>
      <c r="U73" s="41">
        <f>'新参数（德系）'!I72</f>
        <v>1</v>
      </c>
      <c r="V73" s="40" t="s">
        <v>99</v>
      </c>
      <c r="W73" s="41">
        <f>'新参数（美系）'!I72</f>
        <v>1</v>
      </c>
      <c r="X73" s="41">
        <f>'新参数（德系）'!F72</f>
        <v>1</v>
      </c>
      <c r="Y73" s="41">
        <f>'新参数（苏系）'!F72</f>
        <v>1</v>
      </c>
      <c r="Z73" s="41">
        <f>'新参数（日系）'!F72</f>
        <v>1</v>
      </c>
      <c r="AA73" s="40" t="s">
        <v>99</v>
      </c>
      <c r="AB73" s="41">
        <f>'新参数（美系）'!D72</f>
        <v>1</v>
      </c>
      <c r="AC73" s="41">
        <f>'新参数（德系）'!H72</f>
        <v>1</v>
      </c>
      <c r="AD73" s="41">
        <f>'新参数（苏系）'!G72</f>
        <v>1</v>
      </c>
      <c r="AE73" s="40" t="s">
        <v>99</v>
      </c>
      <c r="AJ73" s="40" t="s">
        <v>99</v>
      </c>
      <c r="AK73"/>
      <c r="AL73"/>
      <c r="AM73"/>
      <c r="AN73"/>
    </row>
    <row r="74" ht="50.1" customHeight="1" spans="1:40">
      <c r="A74" s="40" t="str">
        <f>'新参数（美系）'!B73</f>
        <v>destabilizationCurvatureMax
（最大失准速率）（度/s）</v>
      </c>
      <c r="B74" s="41">
        <f>'新参数（美系）'!F73</f>
        <v>1</v>
      </c>
      <c r="C74" s="41">
        <f>'新参数（德系）'!C73</f>
        <v>1</v>
      </c>
      <c r="D74" s="41">
        <f>'新参数（苏系）'!C73</f>
        <v>1</v>
      </c>
      <c r="E74" s="41">
        <f>'新参数（日系）'!C73</f>
        <v>1</v>
      </c>
      <c r="F74" s="40" t="s">
        <v>100</v>
      </c>
      <c r="G74" s="41">
        <f>'新参数（美系）'!L73</f>
        <v>0</v>
      </c>
      <c r="H74" s="41">
        <f>'新参数（德系）'!K73</f>
        <v>0</v>
      </c>
      <c r="I74" s="41">
        <f>'新参数（苏系）'!I73</f>
        <v>0</v>
      </c>
      <c r="J74" s="41">
        <f>'新参数（日系）'!G73</f>
        <v>0</v>
      </c>
      <c r="K74" s="40" t="str">
        <f t="shared" si="2"/>
        <v>destabilizationCurvatureMax
（最大失准速率）（度/s）</v>
      </c>
      <c r="L74" s="41">
        <f>'新参数（美系）'!E73</f>
        <v>3</v>
      </c>
      <c r="M74" s="41">
        <f>'新参数（德系）'!D73</f>
        <v>3</v>
      </c>
      <c r="N74" s="41">
        <f>'新参数（苏系）'!D73</f>
        <v>3</v>
      </c>
      <c r="O74" s="41">
        <f>'新参数（日系）'!D73</f>
        <v>3</v>
      </c>
      <c r="P74" s="40" t="s">
        <v>100</v>
      </c>
      <c r="Q74" s="41">
        <f>'新参数（美系）'!C73</f>
        <v>2</v>
      </c>
      <c r="R74" s="41">
        <f>'新参数（德系）'!G73</f>
        <v>2</v>
      </c>
      <c r="S74" s="40" t="str">
        <f t="shared" si="3"/>
        <v>destabilizationCurvatureMax
（最大失准速率）（度/s）</v>
      </c>
      <c r="T74" s="41">
        <f>'新参数（美系）'!H73</f>
        <v>1</v>
      </c>
      <c r="U74" s="41">
        <f>'新参数（德系）'!I73</f>
        <v>1</v>
      </c>
      <c r="V74" s="40" t="s">
        <v>100</v>
      </c>
      <c r="W74" s="41">
        <f>'新参数（美系）'!I73</f>
        <v>1</v>
      </c>
      <c r="X74" s="41">
        <f>'新参数（德系）'!F73</f>
        <v>1</v>
      </c>
      <c r="Y74" s="41">
        <f>'新参数（苏系）'!F73</f>
        <v>1</v>
      </c>
      <c r="Z74" s="41">
        <f>'新参数（日系）'!F73</f>
        <v>1</v>
      </c>
      <c r="AA74" s="40" t="s">
        <v>100</v>
      </c>
      <c r="AB74" s="41">
        <f>'新参数（美系）'!D73</f>
        <v>1</v>
      </c>
      <c r="AC74" s="41">
        <f>'新参数（德系）'!H73</f>
        <v>1</v>
      </c>
      <c r="AD74" s="41">
        <f>'新参数（苏系）'!G73</f>
        <v>1</v>
      </c>
      <c r="AE74" s="40" t="s">
        <v>100</v>
      </c>
      <c r="AJ74" s="40" t="s">
        <v>100</v>
      </c>
      <c r="AK74"/>
      <c r="AL74"/>
      <c r="AM74"/>
      <c r="AN74"/>
    </row>
    <row r="75" s="36" customFormat="1" ht="50.1" customHeight="1" spans="1:36">
      <c r="A75" s="42" t="str">
        <f>'新参数（美系）'!B74</f>
        <v>destabilizeDistanca
（失准距离）（英寸）</v>
      </c>
      <c r="B75" s="36">
        <f>'新参数（美系）'!F74</f>
        <v>3937</v>
      </c>
      <c r="C75" s="36">
        <f>'新参数（德系）'!C74</f>
        <v>3937</v>
      </c>
      <c r="D75" s="36">
        <f>'新参数（苏系）'!C74</f>
        <v>3937</v>
      </c>
      <c r="E75" s="36">
        <f>'新参数（日系）'!C74</f>
        <v>3937</v>
      </c>
      <c r="F75" s="42" t="s">
        <v>101</v>
      </c>
      <c r="G75" s="36">
        <f>'新参数（美系）'!L74</f>
        <v>0</v>
      </c>
      <c r="H75" s="36">
        <f>'新参数（德系）'!K74</f>
        <v>0</v>
      </c>
      <c r="I75" s="36">
        <f>'新参数（苏系）'!I74</f>
        <v>0</v>
      </c>
      <c r="J75" s="36">
        <f>'新参数（日系）'!G74</f>
        <v>0</v>
      </c>
      <c r="K75" s="42" t="str">
        <f t="shared" si="2"/>
        <v>destabilizeDistanca
（失准距离）（英寸）</v>
      </c>
      <c r="L75" s="36">
        <f>'新参数（美系）'!E74</f>
        <v>787.4</v>
      </c>
      <c r="M75" s="36">
        <f>'新参数（德系）'!D74</f>
        <v>787.4</v>
      </c>
      <c r="N75" s="36">
        <f>'新参数（苏系）'!D74</f>
        <v>787.4</v>
      </c>
      <c r="O75" s="36">
        <f>'新参数（日系）'!D74</f>
        <v>787.4</v>
      </c>
      <c r="P75" s="42" t="s">
        <v>101</v>
      </c>
      <c r="Q75" s="36">
        <f>'新参数（美系）'!C74</f>
        <v>1574.8</v>
      </c>
      <c r="R75" s="36">
        <f>'新参数（德系）'!G74</f>
        <v>1968.5</v>
      </c>
      <c r="S75" s="42" t="str">
        <f t="shared" si="3"/>
        <v>destabilizeDistanca
（失准距离）（英寸）</v>
      </c>
      <c r="T75" s="36">
        <f>'新参数（美系）'!H74</f>
        <v>2952.75</v>
      </c>
      <c r="U75" s="36">
        <f>'新参数（德系）'!I74</f>
        <v>2952.75</v>
      </c>
      <c r="V75" s="42" t="s">
        <v>101</v>
      </c>
      <c r="W75" s="36">
        <f>'新参数（美系）'!I74</f>
        <v>5905.5</v>
      </c>
      <c r="X75" s="36">
        <f>'新参数（德系）'!F74</f>
        <v>5905.5</v>
      </c>
      <c r="Y75" s="36">
        <f>'新参数（苏系）'!F74</f>
        <v>5905.5</v>
      </c>
      <c r="Z75" s="36">
        <f>'新参数（日系）'!F74</f>
        <v>5905.5</v>
      </c>
      <c r="AA75" s="42" t="s">
        <v>101</v>
      </c>
      <c r="AB75" s="36">
        <f>'新参数（美系）'!D74</f>
        <v>2952.75</v>
      </c>
      <c r="AC75" s="36">
        <f>'新参数（德系）'!H74</f>
        <v>2952.75</v>
      </c>
      <c r="AD75" s="36">
        <f>'新参数（苏系）'!G74</f>
        <v>2952.75</v>
      </c>
      <c r="AE75" s="42" t="s">
        <v>101</v>
      </c>
      <c r="AJ75" s="42" t="s">
        <v>101</v>
      </c>
    </row>
    <row r="76" ht="50.1" customHeight="1" spans="1:40">
      <c r="A76" s="40" t="str">
        <f>'新参数（美系）'!B75</f>
        <v>projectileLifeTime
（抛射物存在时间）（s）</v>
      </c>
      <c r="B76" s="41">
        <f>'新参数（美系）'!F75</f>
        <v>2</v>
      </c>
      <c r="C76" s="41">
        <f>'新参数（德系）'!C75</f>
        <v>2</v>
      </c>
      <c r="D76" s="41">
        <f>'新参数（苏系）'!C75</f>
        <v>2</v>
      </c>
      <c r="E76" s="41">
        <f>'新参数（日系）'!C75</f>
        <v>2</v>
      </c>
      <c r="F76" s="40" t="s">
        <v>102</v>
      </c>
      <c r="G76" s="41">
        <f>'新参数（美系）'!L75</f>
        <v>0</v>
      </c>
      <c r="H76" s="41">
        <f>'新参数（德系）'!K75</f>
        <v>0</v>
      </c>
      <c r="I76" s="41">
        <f>'新参数（苏系）'!I75</f>
        <v>0</v>
      </c>
      <c r="J76" s="41">
        <f>'新参数（日系）'!G75</f>
        <v>0</v>
      </c>
      <c r="K76" s="40" t="str">
        <f t="shared" si="2"/>
        <v>projectileLifeTime
（抛射物存在时间）（s）</v>
      </c>
      <c r="L76" s="41">
        <f>'新参数（美系）'!E75</f>
        <v>2</v>
      </c>
      <c r="M76" s="41">
        <f>'新参数（德系）'!D75</f>
        <v>2</v>
      </c>
      <c r="N76" s="41">
        <f>'新参数（苏系）'!D75</f>
        <v>2</v>
      </c>
      <c r="O76" s="41">
        <f>'新参数（日系）'!D75</f>
        <v>2</v>
      </c>
      <c r="P76" s="40" t="s">
        <v>102</v>
      </c>
      <c r="Q76" s="41">
        <f>'新参数（美系）'!C75</f>
        <v>2</v>
      </c>
      <c r="R76" s="41">
        <f>'新参数（德系）'!G75</f>
        <v>2</v>
      </c>
      <c r="S76" s="40" t="str">
        <f t="shared" si="3"/>
        <v>projectileLifeTime
（抛射物存在时间）（s）</v>
      </c>
      <c r="T76" s="41">
        <f>'新参数（美系）'!H75</f>
        <v>2</v>
      </c>
      <c r="U76" s="41">
        <f>'新参数（德系）'!I75</f>
        <v>2</v>
      </c>
      <c r="V76" s="40" t="s">
        <v>102</v>
      </c>
      <c r="W76" s="41">
        <f>'新参数（美系）'!I75</f>
        <v>2</v>
      </c>
      <c r="X76" s="41">
        <f>'新参数（德系）'!F75</f>
        <v>2</v>
      </c>
      <c r="Y76" s="41">
        <f>'新参数（苏系）'!F75</f>
        <v>2</v>
      </c>
      <c r="Z76" s="41">
        <f>'新参数（日系）'!F75</f>
        <v>2</v>
      </c>
      <c r="AA76" s="40" t="s">
        <v>102</v>
      </c>
      <c r="AB76" s="41">
        <f>'新参数（美系）'!D75</f>
        <v>2</v>
      </c>
      <c r="AC76" s="41">
        <f>'新参数（德系）'!H75</f>
        <v>2</v>
      </c>
      <c r="AD76" s="41">
        <f>'新参数（苏系）'!G75</f>
        <v>2</v>
      </c>
      <c r="AE76" s="40" t="s">
        <v>102</v>
      </c>
      <c r="AJ76" s="40" t="s">
        <v>102</v>
      </c>
      <c r="AK76"/>
      <c r="AL76"/>
      <c r="AM76"/>
      <c r="AN76"/>
    </row>
    <row r="77" ht="50.1" customHeight="1" spans="1:40">
      <c r="A77" s="40" t="str">
        <f>'新参数（美系）'!B76</f>
        <v>projectileSpeedUp（发射后抛射物垂直方向速度增量）（英寸/s）</v>
      </c>
      <c r="B77" s="41">
        <f>'新参数（美系）'!F76</f>
        <v>-192</v>
      </c>
      <c r="C77" s="41">
        <f>'新参数（德系）'!C76</f>
        <v>-192</v>
      </c>
      <c r="D77" s="41">
        <f>'新参数（苏系）'!C76</f>
        <v>-192</v>
      </c>
      <c r="E77" s="41">
        <f>'新参数（日系）'!C76</f>
        <v>-192</v>
      </c>
      <c r="F77" s="40" t="s">
        <v>103</v>
      </c>
      <c r="G77" s="41">
        <f>'新参数（美系）'!L76</f>
        <v>0</v>
      </c>
      <c r="H77" s="41">
        <f>'新参数（德系）'!K76</f>
        <v>0</v>
      </c>
      <c r="I77" s="41">
        <f>'新参数（苏系）'!I76</f>
        <v>0</v>
      </c>
      <c r="J77" s="41">
        <f>'新参数（日系）'!G76</f>
        <v>0</v>
      </c>
      <c r="K77" s="40" t="str">
        <f t="shared" si="2"/>
        <v>projectileSpeedUp（发射后抛射物垂直方向速度增量）（英寸/s）</v>
      </c>
      <c r="L77" s="41">
        <f>'新参数（美系）'!E76</f>
        <v>-192</v>
      </c>
      <c r="M77" s="41">
        <f>'新参数（德系）'!D76</f>
        <v>-192</v>
      </c>
      <c r="N77" s="41">
        <f>'新参数（苏系）'!D76</f>
        <v>-192</v>
      </c>
      <c r="O77" s="41">
        <f>'新参数（日系）'!D76</f>
        <v>-192</v>
      </c>
      <c r="P77" s="40" t="s">
        <v>103</v>
      </c>
      <c r="Q77" s="41">
        <f>'新参数（美系）'!C76</f>
        <v>-192</v>
      </c>
      <c r="R77" s="41">
        <f>'新参数（德系）'!G76</f>
        <v>-192</v>
      </c>
      <c r="S77" s="40" t="str">
        <f t="shared" si="3"/>
        <v>projectileSpeedUp（发射后抛射物垂直方向速度增量）（英寸/s）</v>
      </c>
      <c r="T77" s="41">
        <f>'新参数（美系）'!H76</f>
        <v>-192</v>
      </c>
      <c r="U77" s="41">
        <f>'新参数（德系）'!I76</f>
        <v>-192</v>
      </c>
      <c r="V77" s="40" t="s">
        <v>103</v>
      </c>
      <c r="W77" s="41">
        <f>'新参数（美系）'!I76</f>
        <v>-192</v>
      </c>
      <c r="X77" s="41">
        <f>'新参数（德系）'!F76</f>
        <v>-192</v>
      </c>
      <c r="Y77" s="41">
        <f>'新参数（苏系）'!F76</f>
        <v>-192</v>
      </c>
      <c r="Z77" s="41">
        <f>'新参数（日系）'!F76</f>
        <v>-192</v>
      </c>
      <c r="AA77" s="40" t="s">
        <v>103</v>
      </c>
      <c r="AB77" s="41">
        <f>'新参数（美系）'!D76</f>
        <v>-192</v>
      </c>
      <c r="AC77" s="41">
        <f>'新参数（德系）'!H76</f>
        <v>-192</v>
      </c>
      <c r="AD77" s="41">
        <f>'新参数（苏系）'!G76</f>
        <v>-192</v>
      </c>
      <c r="AE77" s="40" t="s">
        <v>103</v>
      </c>
      <c r="AJ77" s="40" t="s">
        <v>103</v>
      </c>
      <c r="AK77"/>
      <c r="AL77"/>
      <c r="AM77"/>
      <c r="AN77"/>
    </row>
    <row r="78" ht="50.1" customHeight="1"/>
    <row r="79" ht="50.1" customHeight="1" spans="1:40">
      <c r="A79" s="40" t="s">
        <v>143</v>
      </c>
      <c r="F79" s="40" t="s">
        <v>143</v>
      </c>
      <c r="K79" s="40" t="s">
        <v>143</v>
      </c>
      <c r="P79" s="40" t="s">
        <v>143</v>
      </c>
      <c r="S79" s="40" t="s">
        <v>143</v>
      </c>
      <c r="V79" s="40" t="s">
        <v>143</v>
      </c>
      <c r="AA79" s="40" t="s">
        <v>143</v>
      </c>
      <c r="AE79" s="40" t="s">
        <v>143</v>
      </c>
      <c r="AJ79" s="40" t="s">
        <v>143</v>
      </c>
      <c r="AK79"/>
      <c r="AL79"/>
      <c r="AM79"/>
      <c r="AN79"/>
    </row>
    <row r="80" ht="50.1" customHeight="1" spans="1:40">
      <c r="A80" s="40" t="s">
        <v>144</v>
      </c>
      <c r="B80" s="36">
        <f>(B14/100)*(1/B63)</f>
        <v>13.0175</v>
      </c>
      <c r="C80" s="36">
        <f>(C14/100)*(1/C63)</f>
        <v>13.2</v>
      </c>
      <c r="D80" s="36">
        <f>(D14/100)*(1/D63)</f>
        <v>12.065</v>
      </c>
      <c r="E80" s="36">
        <f>(E14/100)*(1/E63)</f>
        <v>10.2666666666667</v>
      </c>
      <c r="F80" s="40" t="s">
        <v>144</v>
      </c>
      <c r="G80" s="36" t="e">
        <f t="shared" ref="G80:J80" si="4">(G14/100)*(1/G63)</f>
        <v>#DIV/0!</v>
      </c>
      <c r="H80" s="36" t="e">
        <f t="shared" si="4"/>
        <v>#DIV/0!</v>
      </c>
      <c r="I80" s="36" t="e">
        <f t="shared" si="4"/>
        <v>#DIV/0!</v>
      </c>
      <c r="J80" s="36" t="e">
        <f t="shared" si="4"/>
        <v>#DIV/0!</v>
      </c>
      <c r="K80" s="40" t="s">
        <v>144</v>
      </c>
      <c r="L80" s="36">
        <f t="shared" ref="L80:O80" si="5">(L14/100)*(1/L63)</f>
        <v>26.67</v>
      </c>
      <c r="M80" s="36">
        <f t="shared" si="5"/>
        <v>15.46875</v>
      </c>
      <c r="N80" s="36">
        <f t="shared" si="5"/>
        <v>34.925</v>
      </c>
      <c r="O80" s="36">
        <f t="shared" si="5"/>
        <v>14.6666666666667</v>
      </c>
      <c r="P80" s="40" t="s">
        <v>144</v>
      </c>
      <c r="Q80" s="36">
        <f>(Q14/100)*(1/Q63)</f>
        <v>17.145</v>
      </c>
      <c r="R80" s="36">
        <f>(R14/100)*(1/R63)</f>
        <v>28.71</v>
      </c>
      <c r="S80" s="40" t="s">
        <v>144</v>
      </c>
      <c r="T80" s="36">
        <f t="shared" ref="T80:U80" si="6">(T14/100)*(1/T63)</f>
        <v>42.306875</v>
      </c>
      <c r="U80" s="36">
        <f t="shared" si="6"/>
        <v>49.5</v>
      </c>
      <c r="V80" s="40" t="s">
        <v>144</v>
      </c>
      <c r="W80" s="36">
        <f t="shared" ref="W80:Z80" si="7">(W14/100)*(1/W63)</f>
        <v>39.0525</v>
      </c>
      <c r="X80" s="36">
        <f t="shared" si="7"/>
        <v>79.2</v>
      </c>
      <c r="Y80" s="36">
        <f t="shared" si="7"/>
        <v>33.17875</v>
      </c>
      <c r="Z80" s="36">
        <f t="shared" si="7"/>
        <v>35.9333333333333</v>
      </c>
      <c r="AA80" s="40" t="s">
        <v>144</v>
      </c>
      <c r="AB80" s="36">
        <f t="shared" ref="AB80:AD80" si="8">(AB14/100)*(1/AB63)</f>
        <v>26.035</v>
      </c>
      <c r="AC80" s="36">
        <f t="shared" si="8"/>
        <v>26.4</v>
      </c>
      <c r="AD80" s="36">
        <f t="shared" si="8"/>
        <v>24.13</v>
      </c>
      <c r="AE80" s="40" t="s">
        <v>144</v>
      </c>
      <c r="AJ80" s="40" t="s">
        <v>144</v>
      </c>
      <c r="AK80"/>
      <c r="AL80"/>
      <c r="AM80"/>
      <c r="AN80"/>
    </row>
    <row r="81" ht="50.1" customHeight="1" spans="1:40">
      <c r="A81" s="40" t="s">
        <v>145</v>
      </c>
      <c r="B81" s="36">
        <f>(((1/((B40+B43)/2)+1/B39)*10-(1/B75*B74*1000))*2+B71/10000)/3</f>
        <v>28.0159011392774</v>
      </c>
      <c r="C81" s="36">
        <f>(((1/((C40+C43)/2)+1/C39)*10-(1/C75*C74*1000))*2+C71/10000)/3</f>
        <v>28.2584256944992</v>
      </c>
      <c r="D81" s="36">
        <f>(((1/((D40+D43)/2)+1/D39)*10-(1/D75*D74*1000))*2+D71/10000)/3</f>
        <v>27.8117029951519</v>
      </c>
      <c r="E81" s="36">
        <f>(((1/((E40+E43)/2)+1/E39)*10-(1/E75*E74*1000))*2+E71/10000)/3</f>
        <v>27.2597377836472</v>
      </c>
      <c r="F81" s="40" t="s">
        <v>145</v>
      </c>
      <c r="G81" s="36" t="e">
        <f t="shared" ref="G81:J81" si="9">(((1/((G40+G43)/2)+1/G39)*10-(1/G75*G74*1000))*2+G71/10000)/3</f>
        <v>#DIV/0!</v>
      </c>
      <c r="H81" s="36" t="e">
        <f t="shared" si="9"/>
        <v>#DIV/0!</v>
      </c>
      <c r="I81" s="36" t="e">
        <f t="shared" si="9"/>
        <v>#DIV/0!</v>
      </c>
      <c r="J81" s="36" t="e">
        <f t="shared" si="9"/>
        <v>#DIV/0!</v>
      </c>
      <c r="K81" s="40" t="s">
        <v>145</v>
      </c>
      <c r="L81" s="36">
        <f t="shared" ref="L81:O81" si="10">(((1/((L40+L43)/2)+1/L39)*10-(1/L75*L74*1000))*2+L71/10000)/3</f>
        <v>1.63224668289306</v>
      </c>
      <c r="M81" s="36">
        <f t="shared" si="10"/>
        <v>1.4775560735272</v>
      </c>
      <c r="N81" s="36">
        <f t="shared" si="10"/>
        <v>2.12852340665889</v>
      </c>
      <c r="O81" s="36">
        <f t="shared" si="10"/>
        <v>1.51130181171133</v>
      </c>
      <c r="P81" s="40" t="s">
        <v>145</v>
      </c>
      <c r="Q81" s="36">
        <f>(((1/((Q40+Q43)/2)+1/Q39)*10-(1/Q75*Q74*1000))*2+Q71/10000)/3</f>
        <v>24.6301023332005</v>
      </c>
      <c r="R81" s="36">
        <f>(((1/((R40+R43)/2)+1/R39)*10-(1/R75*R74*1000))*2+R71/10000)/3</f>
        <v>12.3103733774878</v>
      </c>
      <c r="S81" s="40" t="s">
        <v>145</v>
      </c>
      <c r="T81" s="36">
        <f t="shared" ref="T81:U81" si="11">(((1/((T40+T43)/2)+1/T39)*10-(1/T75*T74*1000))*2+T71/10000)/3</f>
        <v>15.8766368797346</v>
      </c>
      <c r="U81" s="36">
        <f t="shared" si="11"/>
        <v>14.1422653490369</v>
      </c>
      <c r="V81" s="40" t="s">
        <v>145</v>
      </c>
      <c r="W81" s="36">
        <f t="shared" ref="W81:Z81" si="12">(((1/((W40+W43)/2)+1/W39)*10-(1/W75*W74*1000))*2+W71/10000)/3</f>
        <v>12.9796434220778</v>
      </c>
      <c r="X81" s="36">
        <f t="shared" si="12"/>
        <v>12.8684195291263</v>
      </c>
      <c r="Y81" s="36">
        <f t="shared" si="12"/>
        <v>11.0404574040022</v>
      </c>
      <c r="Z81" s="36">
        <f t="shared" si="12"/>
        <v>10.9056328692759</v>
      </c>
      <c r="AA81" s="40" t="s">
        <v>145</v>
      </c>
      <c r="AB81" s="36">
        <f t="shared" ref="AB81:AD81" si="13">(((1/((AB40+AB43)/2)+1/AB39)*10-(1/AB75*AB74*1000))*2+AB71/10000)/3</f>
        <v>30.3188864294747</v>
      </c>
      <c r="AC81" s="36">
        <f t="shared" si="13"/>
        <v>25.4180101524849</v>
      </c>
      <c r="AD81" s="36">
        <f t="shared" si="13"/>
        <v>25.4997531116789</v>
      </c>
      <c r="AE81" s="40" t="s">
        <v>145</v>
      </c>
      <c r="AJ81" s="40" t="s">
        <v>145</v>
      </c>
      <c r="AK81"/>
      <c r="AL81"/>
      <c r="AM81"/>
      <c r="AN81"/>
    </row>
    <row r="82" ht="50.1" customHeight="1" spans="1:40">
      <c r="A82" s="40" t="s">
        <v>146</v>
      </c>
      <c r="B82" s="36">
        <f>B17/1000+B75/1000*2</f>
        <v>47.244</v>
      </c>
      <c r="C82" s="36">
        <f>C17/1000+C75/1000*2</f>
        <v>47.244</v>
      </c>
      <c r="D82" s="36">
        <f>D17/1000+D75/1000*2</f>
        <v>47.244</v>
      </c>
      <c r="E82" s="36">
        <f>E17/1000+E75/1000*2</f>
        <v>47.244</v>
      </c>
      <c r="F82" s="40" t="s">
        <v>146</v>
      </c>
      <c r="G82" s="36">
        <f t="shared" ref="G82:J82" si="14">G17/1000+G75/1000*2</f>
        <v>0</v>
      </c>
      <c r="H82" s="36">
        <f t="shared" si="14"/>
        <v>0</v>
      </c>
      <c r="I82" s="36">
        <f t="shared" si="14"/>
        <v>0</v>
      </c>
      <c r="J82" s="36">
        <f t="shared" si="14"/>
        <v>0</v>
      </c>
      <c r="K82" s="40" t="s">
        <v>146</v>
      </c>
      <c r="L82" s="36">
        <f t="shared" ref="L82:O82" si="15">L17/1000+L75/1000*2</f>
        <v>7.4803</v>
      </c>
      <c r="M82" s="36">
        <f t="shared" si="15"/>
        <v>9.4488</v>
      </c>
      <c r="N82" s="36">
        <f t="shared" si="15"/>
        <v>11.4173</v>
      </c>
      <c r="O82" s="36">
        <f t="shared" si="15"/>
        <v>9.4488</v>
      </c>
      <c r="P82" s="40" t="s">
        <v>146</v>
      </c>
      <c r="Q82" s="36">
        <f>Q17/1000+Q75/1000*2</f>
        <v>14.9606</v>
      </c>
      <c r="R82" s="36">
        <f>R17/1000+R75/1000*2</f>
        <v>23.622</v>
      </c>
      <c r="S82" s="40" t="s">
        <v>146</v>
      </c>
      <c r="T82" s="36">
        <f t="shared" ref="T82:U82" si="16">T17/1000+T75/1000*2</f>
        <v>45.2755</v>
      </c>
      <c r="U82" s="36">
        <f t="shared" si="16"/>
        <v>45.2755</v>
      </c>
      <c r="V82" s="40" t="s">
        <v>146</v>
      </c>
      <c r="W82" s="36">
        <f t="shared" ref="W82:Z82" si="17">W17/1000+W75/1000*2</f>
        <v>51.181</v>
      </c>
      <c r="X82" s="36">
        <f t="shared" si="17"/>
        <v>51.181</v>
      </c>
      <c r="Y82" s="36">
        <f t="shared" si="17"/>
        <v>51.181</v>
      </c>
      <c r="Z82" s="36">
        <f t="shared" si="17"/>
        <v>51.181</v>
      </c>
      <c r="AA82" s="40" t="s">
        <v>146</v>
      </c>
      <c r="AB82" s="36">
        <f t="shared" ref="AB82:AD82" si="18">AB17/1000+AB75/1000*2</f>
        <v>45.2755</v>
      </c>
      <c r="AC82" s="36">
        <f t="shared" si="18"/>
        <v>45.2755</v>
      </c>
      <c r="AD82" s="36">
        <f t="shared" si="18"/>
        <v>45.2755</v>
      </c>
      <c r="AE82" s="40" t="s">
        <v>146</v>
      </c>
      <c r="AJ82" s="40" t="s">
        <v>146</v>
      </c>
      <c r="AK82"/>
      <c r="AL82"/>
      <c r="AM82"/>
      <c r="AN82"/>
    </row>
    <row r="83" ht="50.1" customHeight="1" spans="1:40">
      <c r="A83" s="40" t="s">
        <v>147</v>
      </c>
      <c r="B83" s="36">
        <f>((1/B29)*2+(1/B46)+(1/B47)+(1/B48/2)+B49+B52/2+B58/10/2-1/B63-B32)*3</f>
        <v>-52.1101721746531</v>
      </c>
      <c r="C83" s="36">
        <f>((1/C29)*2+(1/C46)+(1/C47)+(1/C48/2)+C49+C52/2+C58/10/2-1/C63-C32)*3</f>
        <v>-49.2972576314201</v>
      </c>
      <c r="D83" s="36">
        <f>((1/D29)*2+(1/D46)+(1/D47)+(1/D48/2)+D49+D52/2+D58/10/2-1/D63-D32)*3</f>
        <v>-13.8180687362211</v>
      </c>
      <c r="E83" s="36">
        <f>((1/E29)*2+(1/E46)+(1/E47)+(1/E48/2)+E49+E52/2+E58/10/2-1/E63-E32)*3</f>
        <v>-44.0628344513635</v>
      </c>
      <c r="F83" s="40" t="s">
        <v>147</v>
      </c>
      <c r="G83" s="36" t="e">
        <f t="shared" ref="G83:J83" si="19">((1/G29)*2+(1/G46)+(1/G47)+(1/G48/2)+G49+G52/2+G58/10/2-1/G63-G32)*3</f>
        <v>#DIV/0!</v>
      </c>
      <c r="H83" s="36" t="e">
        <f t="shared" si="19"/>
        <v>#DIV/0!</v>
      </c>
      <c r="I83" s="36" t="e">
        <f t="shared" si="19"/>
        <v>#DIV/0!</v>
      </c>
      <c r="J83" s="36" t="e">
        <f t="shared" si="19"/>
        <v>#DIV/0!</v>
      </c>
      <c r="K83" s="40" t="s">
        <v>147</v>
      </c>
      <c r="L83" s="36">
        <f t="shared" ref="L83:O83" si="20">((1/L29)*2+(1/L46)+(1/L47)+(1/L48/2)+L49+L52/2+L58/10/2-1/L63-L32)*3</f>
        <v>-145.568282464304</v>
      </c>
      <c r="M83" s="36">
        <f t="shared" si="20"/>
        <v>-120.703878153223</v>
      </c>
      <c r="N83" s="36">
        <f t="shared" si="20"/>
        <v>-144.60827128355</v>
      </c>
      <c r="O83" s="36">
        <f t="shared" si="20"/>
        <v>-118.341519836033</v>
      </c>
      <c r="P83" s="40" t="s">
        <v>147</v>
      </c>
      <c r="Q83" s="36">
        <f>((1/Q29)*2+(1/Q46)+(1/Q47)+(1/Q48/2)+Q49+Q52/2+Q58/10/2-1/Q63-Q32)*3</f>
        <v>-90.7110495990584</v>
      </c>
      <c r="R83" s="36">
        <f>((1/R29)*2+(1/R46)+(1/R47)+(1/R48/2)+R49+R52/2+R58/10/2-1/R63-R32)*3</f>
        <v>-117.274057334069</v>
      </c>
      <c r="S83" s="40" t="s">
        <v>147</v>
      </c>
      <c r="T83" s="36">
        <f t="shared" ref="T83:U83" si="21">((1/T29)*2+(1/T46)+(1/T47)+(1/T48/2)+T49+T52/2+T58/10/2-1/T63-T32)*3</f>
        <v>-67.6506110838658</v>
      </c>
      <c r="U83" s="36">
        <f t="shared" si="21"/>
        <v>-118.971409826579</v>
      </c>
      <c r="V83" s="40" t="s">
        <v>147</v>
      </c>
      <c r="W83" s="36">
        <f t="shared" ref="W83:Z83" si="22">((1/W29)*2+(1/W46)+(1/W47)+(1/W48/2)+W49+W52/2+W58/10/2-1/W63-W32)*3</f>
        <v>-188.733295236339</v>
      </c>
      <c r="X83" s="36">
        <f t="shared" si="22"/>
        <v>-106.054799621418</v>
      </c>
      <c r="Y83" s="36">
        <f t="shared" si="22"/>
        <v>-54.7680651765179</v>
      </c>
      <c r="Z83" s="36">
        <f t="shared" si="22"/>
        <v>-88.1969071076575</v>
      </c>
      <c r="AA83" s="40" t="s">
        <v>147</v>
      </c>
      <c r="AB83" s="36">
        <f t="shared" ref="AB83:AD83" si="23">((1/AB29)*2+(1/AB46)+(1/AB47)+(1/AB48/2)+AB49+AB52/2+AB58/10/2-1/AB63-AB32)*3</f>
        <v>-70.5658430557664</v>
      </c>
      <c r="AC83" s="36">
        <f t="shared" si="23"/>
        <v>-55.7226868388807</v>
      </c>
      <c r="AD83" s="36">
        <f t="shared" si="23"/>
        <v>-25.618673223319</v>
      </c>
      <c r="AE83" s="40" t="s">
        <v>147</v>
      </c>
      <c r="AJ83" s="40" t="s">
        <v>147</v>
      </c>
      <c r="AK83"/>
      <c r="AL83"/>
      <c r="AM83"/>
      <c r="AN83"/>
    </row>
    <row r="84" ht="50.1" customHeight="1" spans="1:40">
      <c r="A84" s="40" t="s">
        <v>148</v>
      </c>
      <c r="B84" s="36">
        <f>(B26*5+B28*40)</f>
        <v>68.8293976539974</v>
      </c>
      <c r="C84" s="36">
        <f>(C26*5+C28*40)</f>
        <v>68.1779794657352</v>
      </c>
      <c r="D84" s="36">
        <f>(D26*5+D28*40)</f>
        <v>68.585058362996</v>
      </c>
      <c r="E84" s="36">
        <f>(E26*5+E28*40)</f>
        <v>69.3998063140447</v>
      </c>
      <c r="F84" s="40" t="s">
        <v>148</v>
      </c>
      <c r="G84" s="36">
        <f t="shared" ref="G84:J84" si="24">(G26*5+G28*40)</f>
        <v>0</v>
      </c>
      <c r="H84" s="36">
        <f t="shared" si="24"/>
        <v>0</v>
      </c>
      <c r="I84" s="36">
        <f t="shared" si="24"/>
        <v>0</v>
      </c>
      <c r="J84" s="36">
        <f t="shared" si="24"/>
        <v>0</v>
      </c>
      <c r="K84" s="40" t="s">
        <v>148</v>
      </c>
      <c r="L84" s="36">
        <f t="shared" ref="L84:O84" si="25">(L26*5+L28*40)</f>
        <v>65.3330761764207</v>
      </c>
      <c r="M84" s="36">
        <f t="shared" si="25"/>
        <v>68.7072191816321</v>
      </c>
      <c r="N84" s="36">
        <f t="shared" si="25"/>
        <v>68.0558918933452</v>
      </c>
      <c r="O84" s="36">
        <f t="shared" si="25"/>
        <v>66.9578036667805</v>
      </c>
      <c r="P84" s="40" t="s">
        <v>148</v>
      </c>
      <c r="Q84" s="36">
        <f>(Q26*5+Q28*40)</f>
        <v>74.3129773628132</v>
      </c>
      <c r="R84" s="36">
        <f>(R26*5+R28*40)</f>
        <v>63.9942746052528</v>
      </c>
      <c r="S84" s="40" t="s">
        <v>148</v>
      </c>
      <c r="T84" s="36">
        <f t="shared" ref="T84:U84" si="26">(T26*5+T28*40)</f>
        <v>49.164553674684</v>
      </c>
      <c r="U84" s="36">
        <f t="shared" si="26"/>
        <v>64.7243647924362</v>
      </c>
      <c r="V84" s="40" t="s">
        <v>148</v>
      </c>
      <c r="W84" s="36">
        <f t="shared" ref="W84:Z84" si="27">(W26*5+W28*40)</f>
        <v>24.221475767622</v>
      </c>
      <c r="X84" s="36">
        <f t="shared" si="27"/>
        <v>37.8898428218848</v>
      </c>
      <c r="Y84" s="36">
        <f t="shared" si="27"/>
        <v>38.292164808176</v>
      </c>
      <c r="Z84" s="36">
        <f t="shared" si="27"/>
        <v>42.7192209492661</v>
      </c>
      <c r="AA84" s="40" t="s">
        <v>148</v>
      </c>
      <c r="AB84" s="36">
        <f t="shared" ref="AB84:AD84" si="28">(AB26*5+AB28*40)</f>
        <v>63.3050849325687</v>
      </c>
      <c r="AC84" s="36">
        <f t="shared" si="28"/>
        <v>66.9578036667805</v>
      </c>
      <c r="AD84" s="36">
        <f t="shared" si="28"/>
        <v>68.585058362996</v>
      </c>
      <c r="AE84" s="40" t="s">
        <v>148</v>
      </c>
      <c r="AJ84" s="40" t="s">
        <v>148</v>
      </c>
      <c r="AK84"/>
      <c r="AL84"/>
      <c r="AM84"/>
      <c r="AN84"/>
    </row>
    <row r="85" ht="50.1" customHeight="1" spans="1:40">
      <c r="A85" s="40" t="s">
        <v>149</v>
      </c>
      <c r="B85" s="36">
        <f>(B20+B22)/10</f>
        <v>9.5</v>
      </c>
      <c r="C85" s="36">
        <f>(C20+C22)/10</f>
        <v>9.5</v>
      </c>
      <c r="D85" s="36">
        <f>(D20+D22)/10</f>
        <v>9.5</v>
      </c>
      <c r="E85" s="36">
        <f>(E20+E22)/10</f>
        <v>15.5</v>
      </c>
      <c r="F85" s="40" t="s">
        <v>149</v>
      </c>
      <c r="G85" s="36">
        <f t="shared" ref="G85:J85" si="29">(G20+G22)/10</f>
        <v>0</v>
      </c>
      <c r="H85" s="36">
        <f t="shared" si="29"/>
        <v>0</v>
      </c>
      <c r="I85" s="36">
        <f t="shared" si="29"/>
        <v>0</v>
      </c>
      <c r="J85" s="36">
        <f t="shared" si="29"/>
        <v>0</v>
      </c>
      <c r="K85" s="40" t="s">
        <v>149</v>
      </c>
      <c r="L85" s="36">
        <f t="shared" ref="L85:O85" si="30">(L20+L22)/10</f>
        <v>27</v>
      </c>
      <c r="M85" s="36">
        <f t="shared" si="30"/>
        <v>28.8</v>
      </c>
      <c r="N85" s="36">
        <f t="shared" si="30"/>
        <v>24.8</v>
      </c>
      <c r="O85" s="36">
        <f t="shared" si="30"/>
        <v>30</v>
      </c>
      <c r="P85" s="40" t="s">
        <v>149</v>
      </c>
      <c r="Q85" s="36">
        <f>(Q20+Q22)/10</f>
        <v>19.5</v>
      </c>
      <c r="R85" s="36">
        <f>(R20+R22)/10</f>
        <v>27</v>
      </c>
      <c r="S85" s="40" t="s">
        <v>149</v>
      </c>
      <c r="T85" s="36">
        <f t="shared" ref="T85:U85" si="31">(T20+T22)/10</f>
        <v>26</v>
      </c>
      <c r="U85" s="36">
        <f t="shared" si="31"/>
        <v>26</v>
      </c>
      <c r="V85" s="40" t="s">
        <v>149</v>
      </c>
      <c r="W85" s="36">
        <f t="shared" ref="W85:Z85" si="32">(W20+W22)/10</f>
        <v>22.5</v>
      </c>
      <c r="X85" s="36">
        <f t="shared" si="32"/>
        <v>20</v>
      </c>
      <c r="Y85" s="36">
        <f t="shared" si="32"/>
        <v>23.5</v>
      </c>
      <c r="Z85" s="36">
        <f t="shared" si="32"/>
        <v>27</v>
      </c>
      <c r="AA85" s="40" t="s">
        <v>149</v>
      </c>
      <c r="AB85" s="36">
        <f t="shared" ref="AB85:AD85" si="33">(AB20+AB22)/10</f>
        <v>12</v>
      </c>
      <c r="AC85" s="36">
        <f t="shared" si="33"/>
        <v>13</v>
      </c>
      <c r="AD85" s="36">
        <f t="shared" si="33"/>
        <v>13</v>
      </c>
      <c r="AE85" s="40" t="s">
        <v>149</v>
      </c>
      <c r="AJ85" s="40" t="s">
        <v>149</v>
      </c>
      <c r="AK85"/>
      <c r="AL85"/>
      <c r="AM85"/>
      <c r="AN85"/>
    </row>
    <row r="86" customFormat="1" ht="50.1" customHeight="1" spans="1:40">
      <c r="A86" s="40" t="s">
        <v>150</v>
      </c>
      <c r="B86" s="36">
        <f>B18/10+1/B63*2+B22/10*4</f>
        <v>38.6666666666667</v>
      </c>
      <c r="C86" s="36">
        <f>C18/10+1/C63*2+C22/10*4</f>
        <v>38.6666666666667</v>
      </c>
      <c r="D86" s="36">
        <f>D18/10+1/D63*2+D22/10*4</f>
        <v>38.6666666666667</v>
      </c>
      <c r="E86" s="36">
        <f>E18/10+1/E63*2+E22/10*4</f>
        <v>38.6666666666667</v>
      </c>
      <c r="F86" s="40" t="s">
        <v>150</v>
      </c>
      <c r="G86" s="36" t="e">
        <f t="shared" ref="G86:J86" si="34">G18/10+1/G63*2+G22/10*4</f>
        <v>#DIV/0!</v>
      </c>
      <c r="H86" s="36" t="e">
        <f t="shared" si="34"/>
        <v>#DIV/0!</v>
      </c>
      <c r="I86" s="36" t="e">
        <f t="shared" si="34"/>
        <v>#DIV/0!</v>
      </c>
      <c r="J86" s="36" t="e">
        <f t="shared" si="34"/>
        <v>#DIV/0!</v>
      </c>
      <c r="K86" s="40" t="s">
        <v>150</v>
      </c>
      <c r="L86" s="36">
        <f t="shared" ref="L86:O86" si="35">L18/10+1/L63*2+L22/10*4</f>
        <v>65.3333333333333</v>
      </c>
      <c r="M86" s="36">
        <f t="shared" si="35"/>
        <v>61.1333333333333</v>
      </c>
      <c r="N86" s="36">
        <f t="shared" si="35"/>
        <v>91.7333333333333</v>
      </c>
      <c r="O86" s="36">
        <f t="shared" si="35"/>
        <v>68.6666666666667</v>
      </c>
      <c r="P86" s="40" t="s">
        <v>150</v>
      </c>
      <c r="Q86" s="36">
        <f>Q18/10+1/Q63*2+Q22/10*4</f>
        <v>49.3333333333333</v>
      </c>
      <c r="R86" s="36">
        <f>R18/10+1/R63*2+R22/10*4</f>
        <v>62</v>
      </c>
      <c r="S86" s="40" t="s">
        <v>150</v>
      </c>
      <c r="T86" s="36">
        <f t="shared" ref="T86:U86" si="36">T18/10+1/T63*2+T22/10*4</f>
        <v>59.6666666666667</v>
      </c>
      <c r="U86" s="36">
        <f t="shared" si="36"/>
        <v>63</v>
      </c>
      <c r="V86" s="40" t="s">
        <v>150</v>
      </c>
      <c r="W86" s="36">
        <f t="shared" ref="W86:Z86" si="37">W18/10+1/W63*2+W22/10*4</f>
        <v>70</v>
      </c>
      <c r="X86" s="36">
        <f t="shared" si="37"/>
        <v>90</v>
      </c>
      <c r="Y86" s="36">
        <f t="shared" si="37"/>
        <v>67.1333333333333</v>
      </c>
      <c r="Z86" s="36">
        <f t="shared" si="37"/>
        <v>65.3333333333333</v>
      </c>
      <c r="AA86" s="40" t="s">
        <v>150</v>
      </c>
      <c r="AB86" s="36">
        <f t="shared" ref="AB86:AD86" si="38">AB18/10+1/AB63*2+AB22/10*4</f>
        <v>46.5333333333333</v>
      </c>
      <c r="AC86" s="36">
        <f t="shared" si="38"/>
        <v>47.3333333333333</v>
      </c>
      <c r="AD86" s="36">
        <f t="shared" si="38"/>
        <v>47.3333333333333</v>
      </c>
      <c r="AE86" s="40" t="s">
        <v>150</v>
      </c>
      <c r="AF86" s="36"/>
      <c r="AG86" s="36"/>
      <c r="AH86" s="36"/>
      <c r="AI86" s="36"/>
      <c r="AJ86" s="40" t="s">
        <v>150</v>
      </c>
      <c r="AK86" s="36"/>
      <c r="AL86" s="36"/>
      <c r="AM86" s="36"/>
      <c r="AN86" s="36"/>
    </row>
    <row r="87" customFormat="1" ht="50.1" customHeight="1" spans="1:40">
      <c r="A87" s="40" t="s">
        <v>151</v>
      </c>
      <c r="B87" s="42">
        <f>SUM(B80:B86)/7</f>
        <v>21.8804704693269</v>
      </c>
      <c r="C87" s="42">
        <f>SUM(C80:C86)/7</f>
        <v>22.2499734564973</v>
      </c>
      <c r="D87" s="42">
        <f>SUM(D80:D86)/7</f>
        <v>27.1506227555134</v>
      </c>
      <c r="E87" s="42">
        <f>SUM(E80:E86)/7</f>
        <v>23.467720425666</v>
      </c>
      <c r="F87" s="40" t="s">
        <v>151</v>
      </c>
      <c r="G87" s="42" t="e">
        <f t="shared" ref="G87:J87" si="39">SUM(G80:G86)/7</f>
        <v>#DIV/0!</v>
      </c>
      <c r="H87" s="42" t="e">
        <f t="shared" si="39"/>
        <v>#DIV/0!</v>
      </c>
      <c r="I87" s="42" t="e">
        <f t="shared" si="39"/>
        <v>#DIV/0!</v>
      </c>
      <c r="J87" s="42" t="e">
        <f t="shared" si="39"/>
        <v>#DIV/0!</v>
      </c>
      <c r="K87" s="40" t="s">
        <v>151</v>
      </c>
      <c r="L87" s="42">
        <f t="shared" ref="L87:O87" si="40">SUM(L80:L86)/7</f>
        <v>6.84009624690616</v>
      </c>
      <c r="M87" s="42">
        <f t="shared" si="40"/>
        <v>9.19025434789564</v>
      </c>
      <c r="N87" s="42">
        <f t="shared" si="40"/>
        <v>12.6359681928267</v>
      </c>
      <c r="O87" s="42">
        <f t="shared" si="40"/>
        <v>10.4156741393989</v>
      </c>
      <c r="P87" s="40" t="s">
        <v>151</v>
      </c>
      <c r="Q87" s="42">
        <f>SUM(Q80:Q86)/7</f>
        <v>15.5958519186127</v>
      </c>
      <c r="R87" s="42">
        <f>SUM(R80:R86)/7</f>
        <v>14.3375129498103</v>
      </c>
      <c r="S87" s="40" t="s">
        <v>151</v>
      </c>
      <c r="T87" s="42">
        <f t="shared" ref="T87:U87" si="41">SUM(T80:T86)/7</f>
        <v>24.3770887338885</v>
      </c>
      <c r="U87" s="42">
        <f t="shared" si="41"/>
        <v>20.5243886164134</v>
      </c>
      <c r="V87" s="40" t="s">
        <v>151</v>
      </c>
      <c r="W87" s="42">
        <f t="shared" ref="W87:Z87" si="42">SUM(W80:W86)/7</f>
        <v>4.45733199333728</v>
      </c>
      <c r="X87" s="42">
        <f t="shared" si="42"/>
        <v>26.440637532799</v>
      </c>
      <c r="Y87" s="42">
        <f t="shared" si="42"/>
        <v>24.2225200527134</v>
      </c>
      <c r="Z87" s="42">
        <f t="shared" si="42"/>
        <v>20.696516196793</v>
      </c>
      <c r="AA87" s="40" t="s">
        <v>151</v>
      </c>
      <c r="AB87" s="42">
        <f t="shared" ref="AB87:AD87" si="43">SUM(AB80:AB86)/7</f>
        <v>21.8431373770872</v>
      </c>
      <c r="AC87" s="42">
        <f t="shared" si="43"/>
        <v>24.0945657591026</v>
      </c>
      <c r="AD87" s="42">
        <f t="shared" si="43"/>
        <v>28.3149959406699</v>
      </c>
      <c r="AE87" s="40" t="s">
        <v>151</v>
      </c>
      <c r="AF87" s="36"/>
      <c r="AG87" s="36"/>
      <c r="AH87" s="36"/>
      <c r="AI87" s="36"/>
      <c r="AJ87" s="40" t="s">
        <v>151</v>
      </c>
      <c r="AK87" s="36"/>
      <c r="AL87" s="36"/>
      <c r="AM87" s="36"/>
      <c r="AN87" s="36"/>
    </row>
    <row r="88" ht="50.1" customHeight="1" spans="1:40">
      <c r="A88" s="40" t="s">
        <v>152</v>
      </c>
      <c r="S88" s="40" t="s">
        <v>152</v>
      </c>
      <c r="V88" s="40" t="s">
        <v>152</v>
      </c>
      <c r="AF88"/>
      <c r="AG88"/>
      <c r="AH88"/>
      <c r="AI88"/>
      <c r="AK88"/>
      <c r="AL88"/>
      <c r="AM88"/>
      <c r="AN88"/>
    </row>
    <row r="89" ht="50.1" customHeight="1" spans="2:26">
      <c r="B89" s="36"/>
      <c r="C89" s="36"/>
      <c r="D89" s="36"/>
      <c r="E89" s="36"/>
      <c r="V89" s="40" t="s">
        <v>153</v>
      </c>
      <c r="W89" s="36"/>
      <c r="X89" s="36"/>
      <c r="Y89" s="36"/>
      <c r="Z89" s="36"/>
    </row>
    <row r="90" ht="50.1" customHeight="1" spans="2:26">
      <c r="B90" s="36"/>
      <c r="C90" s="36"/>
      <c r="D90" s="36"/>
      <c r="E90" s="36"/>
      <c r="V90" s="40" t="s">
        <v>154</v>
      </c>
      <c r="W90" s="36">
        <f>W17/1000+'新参数（美系）'!AS74/1000*2</f>
        <v>39.37</v>
      </c>
      <c r="X90" s="36">
        <f>X17/1000+'新参数（德系）'!AV74/1000*2</f>
        <v>39.37</v>
      </c>
      <c r="Y90" s="36">
        <f>Y17/1000+11811/1000*2</f>
        <v>62.992</v>
      </c>
      <c r="Z90" s="36">
        <f>Z17/1000+11811/1000*2</f>
        <v>62.992</v>
      </c>
    </row>
    <row r="91" ht="50.1" customHeight="1" spans="2:26">
      <c r="B91" s="36"/>
      <c r="C91" s="36"/>
      <c r="D91" s="36"/>
      <c r="E91" s="36"/>
      <c r="V91" s="40" t="s">
        <v>155</v>
      </c>
      <c r="W91" s="36">
        <f t="shared" ref="W91:Z91" si="44">(1/(W29*0.25))*9</f>
        <v>85.7158608130914</v>
      </c>
      <c r="X91" s="36">
        <f t="shared" si="44"/>
        <v>98.6469732089914</v>
      </c>
      <c r="Y91" s="36">
        <f t="shared" si="44"/>
        <v>98.8446504548756</v>
      </c>
      <c r="Z91" s="36">
        <f t="shared" si="44"/>
        <v>102.56590630244</v>
      </c>
    </row>
    <row r="92" ht="50.1" customHeight="1" spans="2:26">
      <c r="B92" s="36"/>
      <c r="C92" s="36"/>
      <c r="D92" s="36"/>
      <c r="E92" s="36"/>
      <c r="V92" s="40" t="s">
        <v>156</v>
      </c>
      <c r="W92" s="41">
        <v>0</v>
      </c>
      <c r="X92" s="41">
        <v>0</v>
      </c>
      <c r="Y92" s="41">
        <v>0</v>
      </c>
      <c r="Z92" s="41">
        <v>0</v>
      </c>
    </row>
    <row r="93" spans="2:26">
      <c r="B93" s="36"/>
      <c r="C93" s="36"/>
      <c r="D93" s="36"/>
      <c r="E93" s="36"/>
      <c r="V93" s="40" t="s">
        <v>157</v>
      </c>
      <c r="W93" s="41">
        <v>100</v>
      </c>
      <c r="X93" s="41">
        <v>100</v>
      </c>
      <c r="Y93" s="41">
        <v>100</v>
      </c>
      <c r="Z93" s="41">
        <v>100</v>
      </c>
    </row>
    <row r="94" spans="2:5">
      <c r="B94" s="36"/>
      <c r="C94" s="36"/>
      <c r="D94" s="36"/>
      <c r="E94" s="36"/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XFD26"/>
  <sheetViews>
    <sheetView workbookViewId="0">
      <selection activeCell="O6" sqref="O6"/>
    </sheetView>
  </sheetViews>
  <sheetFormatPr defaultColWidth="9" defaultRowHeight="16.5"/>
  <cols>
    <col min="1" max="2" width="10.875" style="2" customWidth="1"/>
    <col min="3" max="3" width="8.875" style="2" customWidth="1"/>
    <col min="4" max="4" width="7.25" style="2" customWidth="1"/>
    <col min="5" max="5" width="8.875" style="2" customWidth="1"/>
    <col min="6" max="6" width="5.875" style="2" customWidth="1"/>
    <col min="7" max="7" width="11.5" style="2" customWidth="1"/>
    <col min="8" max="8" width="10" style="2" customWidth="1"/>
    <col min="9" max="9" width="9.875" style="2" customWidth="1"/>
    <col min="10" max="10" width="8.25" style="2" customWidth="1"/>
    <col min="11" max="11" width="10.625" style="2" customWidth="1"/>
    <col min="12" max="12" width="8.5" style="2" customWidth="1"/>
    <col min="13" max="13" width="8.875" style="2" customWidth="1"/>
    <col min="14" max="14" width="11.625" style="2" customWidth="1"/>
    <col min="15" max="15" width="12.125" style="2" customWidth="1"/>
    <col min="16" max="16" width="3.625" style="2" customWidth="1"/>
    <col min="17" max="17" width="17.125" style="2" customWidth="1"/>
    <col min="18" max="19" width="15" style="2" customWidth="1"/>
    <col min="20" max="20" width="8" style="2" customWidth="1"/>
    <col min="21" max="21" width="8.875" style="2" customWidth="1"/>
    <col min="22" max="22" width="3.625" style="2" customWidth="1"/>
    <col min="23" max="23" width="5.125" style="2" customWidth="1"/>
    <col min="24" max="26" width="6.875" style="2" customWidth="1"/>
    <col min="27" max="33" width="7.5" style="2" customWidth="1"/>
    <col min="34" max="34" width="6.875" style="2" customWidth="1"/>
    <col min="35" max="35" width="12.875" style="2" customWidth="1"/>
    <col min="36" max="39" width="6.625" style="2" customWidth="1"/>
    <col min="40" max="40" width="10.875" style="2" customWidth="1"/>
    <col min="41" max="41" width="6.875" style="2" customWidth="1"/>
    <col min="42" max="42" width="16.5" style="2" customWidth="1"/>
    <col min="43" max="44" width="11.875" style="2" customWidth="1"/>
    <col min="45" max="45" width="18" style="2" customWidth="1"/>
    <col min="46" max="46" width="16.5" style="2" customWidth="1"/>
    <col min="47" max="47" width="16.125" style="2" customWidth="1"/>
    <col min="48" max="48" width="14.125" style="2" customWidth="1"/>
    <col min="49" max="49" width="19.375" style="2" customWidth="1"/>
    <col min="50" max="50" width="26.75" style="2" customWidth="1"/>
    <col min="51" max="16384" width="9" style="2"/>
  </cols>
  <sheetData>
    <row r="3" spans="3:50">
      <c r="C3" s="2" t="s">
        <v>158</v>
      </c>
      <c r="Q3" s="4" t="s">
        <v>159</v>
      </c>
      <c r="R3" s="4"/>
      <c r="S3" s="4"/>
      <c r="T3" s="4"/>
      <c r="U3" s="4"/>
      <c r="W3" s="2" t="s">
        <v>160</v>
      </c>
      <c r="AI3" s="4" t="s">
        <v>161</v>
      </c>
      <c r="AJ3" s="4"/>
      <c r="AK3" s="4"/>
      <c r="AL3" s="4"/>
      <c r="AM3" s="4"/>
      <c r="AN3" s="4"/>
      <c r="AP3" s="4" t="s">
        <v>162</v>
      </c>
      <c r="AQ3" s="4"/>
      <c r="AR3" s="4"/>
      <c r="AS3" s="4"/>
      <c r="AT3" s="4"/>
      <c r="AU3" s="4"/>
      <c r="AV3" s="4"/>
      <c r="AW3" s="4"/>
      <c r="AX3" s="4"/>
    </row>
    <row r="4" spans="2:50">
      <c r="B4" s="12" t="s">
        <v>163</v>
      </c>
      <c r="C4" s="13" t="s">
        <v>164</v>
      </c>
      <c r="D4" s="13"/>
      <c r="E4" s="13"/>
      <c r="F4" s="13"/>
      <c r="G4" s="13" t="s">
        <v>165</v>
      </c>
      <c r="H4" s="13"/>
      <c r="I4" s="13"/>
      <c r="J4" s="13"/>
      <c r="K4" s="13" t="s">
        <v>141</v>
      </c>
      <c r="L4" s="13"/>
      <c r="M4" s="13"/>
      <c r="N4" s="13"/>
      <c r="O4" s="13"/>
      <c r="R4" s="26" t="s">
        <v>166</v>
      </c>
      <c r="S4" s="26" t="s">
        <v>167</v>
      </c>
      <c r="T4" s="20" t="s">
        <v>163</v>
      </c>
      <c r="U4" s="20"/>
      <c r="W4" s="27" t="s">
        <v>168</v>
      </c>
      <c r="X4" s="12">
        <v>1</v>
      </c>
      <c r="AJ4" s="12" t="s">
        <v>169</v>
      </c>
      <c r="AK4" s="12"/>
      <c r="AL4" s="12"/>
      <c r="AM4" s="12" t="s">
        <v>170</v>
      </c>
      <c r="AN4" s="12" t="s">
        <v>171</v>
      </c>
      <c r="AO4"/>
      <c r="AQ4" s="12" t="s">
        <v>134</v>
      </c>
      <c r="AR4" s="12" t="s">
        <v>135</v>
      </c>
      <c r="AS4" s="12" t="s">
        <v>139</v>
      </c>
      <c r="AT4" s="12" t="s">
        <v>136</v>
      </c>
      <c r="AU4" s="12" t="s">
        <v>141</v>
      </c>
      <c r="AV4" s="12" t="s">
        <v>172</v>
      </c>
      <c r="AW4" s="12" t="s">
        <v>173</v>
      </c>
      <c r="AX4" s="12" t="s">
        <v>174</v>
      </c>
    </row>
    <row r="5" spans="1:50">
      <c r="A5" s="12" t="s">
        <v>175</v>
      </c>
      <c r="B5" s="14" t="s">
        <v>176</v>
      </c>
      <c r="C5" s="15" t="s">
        <v>177</v>
      </c>
      <c r="D5" s="16" t="s">
        <v>178</v>
      </c>
      <c r="E5" s="16" t="s">
        <v>179</v>
      </c>
      <c r="F5" s="16">
        <v>7.7</v>
      </c>
      <c r="G5" s="16" t="s">
        <v>180</v>
      </c>
      <c r="H5" s="16" t="s">
        <v>181</v>
      </c>
      <c r="I5" s="16" t="s">
        <v>182</v>
      </c>
      <c r="J5" s="16" t="s">
        <v>183</v>
      </c>
      <c r="K5" s="23" t="s">
        <v>184</v>
      </c>
      <c r="L5" s="16" t="s">
        <v>185</v>
      </c>
      <c r="M5" s="16" t="s">
        <v>186</v>
      </c>
      <c r="N5" s="16" t="s">
        <v>187</v>
      </c>
      <c r="O5" s="16" t="s">
        <v>188</v>
      </c>
      <c r="Q5" s="20" t="s">
        <v>189</v>
      </c>
      <c r="R5" s="20" t="s">
        <v>190</v>
      </c>
      <c r="S5" s="20" t="s">
        <v>191</v>
      </c>
      <c r="T5" s="20" t="s">
        <v>192</v>
      </c>
      <c r="U5" s="20" t="s">
        <v>193</v>
      </c>
      <c r="W5" s="27" t="s">
        <v>194</v>
      </c>
      <c r="X5" s="28">
        <v>39.37</v>
      </c>
      <c r="Y5" s="31">
        <v>39.37</v>
      </c>
      <c r="Z5" s="31">
        <v>39.37</v>
      </c>
      <c r="AA5" s="31">
        <v>39.37</v>
      </c>
      <c r="AB5" s="31">
        <v>39.37</v>
      </c>
      <c r="AC5" s="31">
        <v>39.37</v>
      </c>
      <c r="AD5" s="31">
        <v>39.37</v>
      </c>
      <c r="AE5" s="31">
        <v>39.37</v>
      </c>
      <c r="AF5" s="31">
        <v>39.37</v>
      </c>
      <c r="AG5" s="31">
        <v>39.37</v>
      </c>
      <c r="AH5" s="31">
        <v>39.37</v>
      </c>
      <c r="AI5" s="12" t="s">
        <v>195</v>
      </c>
      <c r="AJ5" s="32" t="s">
        <v>196</v>
      </c>
      <c r="AK5" s="32" t="s">
        <v>197</v>
      </c>
      <c r="AL5" s="32" t="s">
        <v>198</v>
      </c>
      <c r="AM5" s="32"/>
      <c r="AN5" s="32"/>
      <c r="AO5"/>
      <c r="AP5" s="12" t="s">
        <v>199</v>
      </c>
      <c r="AQ5" s="32">
        <v>100</v>
      </c>
      <c r="AR5" s="32">
        <v>150</v>
      </c>
      <c r="AS5" s="32">
        <v>150</v>
      </c>
      <c r="AT5" s="32">
        <v>20</v>
      </c>
      <c r="AU5" s="32">
        <v>10</v>
      </c>
      <c r="AV5" s="32">
        <v>40</v>
      </c>
      <c r="AW5" s="32">
        <v>50</v>
      </c>
      <c r="AX5" s="32">
        <v>75</v>
      </c>
    </row>
    <row r="6" spans="1:50">
      <c r="A6" s="17" t="s">
        <v>200</v>
      </c>
      <c r="B6" s="18">
        <v>1450</v>
      </c>
      <c r="C6" s="19">
        <f>792</f>
        <v>792</v>
      </c>
      <c r="D6" s="20">
        <f>762*1.025</f>
        <v>781.05</v>
      </c>
      <c r="E6" s="20">
        <f>762*0.95</f>
        <v>723.9</v>
      </c>
      <c r="F6" s="20">
        <f>770*0.8</f>
        <v>616</v>
      </c>
      <c r="G6" s="20">
        <f>556*1.05</f>
        <v>583.8</v>
      </c>
      <c r="H6" s="20">
        <f>792*0.725</f>
        <v>574.2</v>
      </c>
      <c r="I6" s="20">
        <f>762*0.725</f>
        <v>552.45</v>
      </c>
      <c r="J6" s="20">
        <f>762*0.675</f>
        <v>514.35</v>
      </c>
      <c r="K6" s="20">
        <f>900*0.525</f>
        <v>472.5</v>
      </c>
      <c r="L6" s="20">
        <f>1143*0.4</f>
        <v>457.2</v>
      </c>
      <c r="M6" s="20">
        <f>762*0.55</f>
        <v>419.1</v>
      </c>
      <c r="N6" s="20">
        <f>900*0.375</f>
        <v>337.5</v>
      </c>
      <c r="O6" s="20">
        <f>800*0.275</f>
        <v>220</v>
      </c>
      <c r="Q6" s="20" t="s">
        <v>201</v>
      </c>
      <c r="R6" s="29">
        <v>0.595</v>
      </c>
      <c r="S6" s="29">
        <v>0.595</v>
      </c>
      <c r="T6" s="29">
        <v>1.02</v>
      </c>
      <c r="U6" s="29">
        <v>1.59</v>
      </c>
      <c r="W6" s="27" t="s">
        <v>168</v>
      </c>
      <c r="X6" s="12">
        <v>100</v>
      </c>
      <c r="Y6" s="12">
        <v>150</v>
      </c>
      <c r="Z6" s="12">
        <v>200</v>
      </c>
      <c r="AA6" s="12">
        <v>300</v>
      </c>
      <c r="AB6" s="12">
        <v>400</v>
      </c>
      <c r="AC6" s="12">
        <v>500</v>
      </c>
      <c r="AD6" s="12">
        <v>600</v>
      </c>
      <c r="AE6" s="12">
        <v>800</v>
      </c>
      <c r="AF6" s="12">
        <v>1000</v>
      </c>
      <c r="AG6" s="12">
        <v>1500</v>
      </c>
      <c r="AI6" s="12" t="s">
        <v>202</v>
      </c>
      <c r="AJ6" s="12">
        <v>15</v>
      </c>
      <c r="AK6" s="33">
        <v>20</v>
      </c>
      <c r="AL6" s="33">
        <v>30</v>
      </c>
      <c r="AM6" s="33"/>
      <c r="AN6" s="33"/>
      <c r="AO6"/>
      <c r="AP6" s="12" t="s">
        <v>203</v>
      </c>
      <c r="AQ6" s="12">
        <v>1.5</v>
      </c>
      <c r="AR6" s="12">
        <v>1.5</v>
      </c>
      <c r="AS6" s="12">
        <v>1.5</v>
      </c>
      <c r="AT6" s="12">
        <v>1.5</v>
      </c>
      <c r="AU6" s="12">
        <v>1.5</v>
      </c>
      <c r="AV6" s="12">
        <v>1.5</v>
      </c>
      <c r="AW6" s="12">
        <v>1.5</v>
      </c>
      <c r="AX6" s="12">
        <v>1.5</v>
      </c>
    </row>
    <row r="7" spans="1:50">
      <c r="A7" s="21" t="s">
        <v>204</v>
      </c>
      <c r="B7" s="21">
        <v>32200</v>
      </c>
      <c r="C7" s="21">
        <v>3697</v>
      </c>
      <c r="D7" s="21">
        <v>3894</v>
      </c>
      <c r="E7" s="21">
        <v>3744</v>
      </c>
      <c r="F7" s="21">
        <v>3136</v>
      </c>
      <c r="G7" s="21">
        <v>1679</v>
      </c>
      <c r="H7" s="21">
        <v>1886</v>
      </c>
      <c r="I7" s="21">
        <v>2108</v>
      </c>
      <c r="J7" s="21">
        <v>1311</v>
      </c>
      <c r="K7" s="21">
        <v>1034</v>
      </c>
      <c r="L7" s="21">
        <v>835</v>
      </c>
      <c r="M7" s="21">
        <v>715</v>
      </c>
      <c r="N7" s="21">
        <v>521</v>
      </c>
      <c r="O7" s="21">
        <v>274</v>
      </c>
      <c r="Q7" s="20" t="s">
        <v>205</v>
      </c>
      <c r="R7" s="29">
        <f>R6*0.95*100</f>
        <v>56.525</v>
      </c>
      <c r="S7" s="29">
        <f>S6*1.25*100</f>
        <v>74.375</v>
      </c>
      <c r="T7" s="29">
        <f>T6*2*100</f>
        <v>204</v>
      </c>
      <c r="U7" s="29">
        <f>U6*1.5*100</f>
        <v>238.5</v>
      </c>
      <c r="W7" s="27" t="s">
        <v>194</v>
      </c>
      <c r="X7" s="30">
        <f t="shared" ref="X7:AG7" si="0">X6*X5</f>
        <v>3937</v>
      </c>
      <c r="Y7" s="30">
        <f t="shared" si="0"/>
        <v>5905.5</v>
      </c>
      <c r="Z7" s="30">
        <f t="shared" si="0"/>
        <v>7874</v>
      </c>
      <c r="AA7" s="30">
        <f t="shared" si="0"/>
        <v>11811</v>
      </c>
      <c r="AB7" s="30">
        <f t="shared" si="0"/>
        <v>15748</v>
      </c>
      <c r="AC7" s="30">
        <f t="shared" si="0"/>
        <v>19685</v>
      </c>
      <c r="AD7" s="30">
        <f t="shared" si="0"/>
        <v>23622</v>
      </c>
      <c r="AE7" s="30">
        <f t="shared" si="0"/>
        <v>31496</v>
      </c>
      <c r="AF7" s="30">
        <f t="shared" si="0"/>
        <v>39370</v>
      </c>
      <c r="AG7" s="30">
        <f t="shared" si="0"/>
        <v>59055</v>
      </c>
      <c r="AI7" s="12" t="s">
        <v>206</v>
      </c>
      <c r="AJ7" s="33" t="s">
        <v>207</v>
      </c>
      <c r="AK7" s="33" t="s">
        <v>208</v>
      </c>
      <c r="AL7" s="33" t="s">
        <v>209</v>
      </c>
      <c r="AM7" s="33"/>
      <c r="AN7" s="33"/>
      <c r="AO7"/>
      <c r="AP7" s="12"/>
      <c r="AQ7" s="33"/>
      <c r="AR7" s="33"/>
      <c r="AS7" s="33"/>
      <c r="AT7" s="33"/>
      <c r="AU7" s="33"/>
      <c r="AV7" s="33"/>
      <c r="AW7" s="33"/>
      <c r="AX7" s="33"/>
    </row>
    <row r="8" spans="1:50">
      <c r="A8" s="12" t="s">
        <v>210</v>
      </c>
      <c r="B8" s="22">
        <f t="shared" ref="B8:O8" si="1">1+B7^0.25*5/10</f>
        <v>7.69782771593268</v>
      </c>
      <c r="C8" s="22">
        <f t="shared" si="1"/>
        <v>4.89881265432955</v>
      </c>
      <c r="D8" s="22">
        <f t="shared" si="1"/>
        <v>4.94974439196041</v>
      </c>
      <c r="E8" s="22">
        <f t="shared" si="1"/>
        <v>4.91114542567499</v>
      </c>
      <c r="F8" s="22">
        <f t="shared" si="1"/>
        <v>4.74165738677394</v>
      </c>
      <c r="G8" s="22">
        <f t="shared" si="1"/>
        <v>4.20060941451373</v>
      </c>
      <c r="H8" s="22">
        <f t="shared" si="1"/>
        <v>4.29500005695057</v>
      </c>
      <c r="I8" s="22">
        <f t="shared" si="1"/>
        <v>4.38795517727862</v>
      </c>
      <c r="J8" s="22">
        <f t="shared" si="1"/>
        <v>4.00864313189781</v>
      </c>
      <c r="K8" s="22">
        <f t="shared" si="1"/>
        <v>3.83530731939357</v>
      </c>
      <c r="L8" s="22">
        <f t="shared" si="1"/>
        <v>3.68776703573802</v>
      </c>
      <c r="M8" s="22">
        <f t="shared" si="1"/>
        <v>3.5855117440384</v>
      </c>
      <c r="N8" s="22">
        <f t="shared" si="1"/>
        <v>3.38879804614301</v>
      </c>
      <c r="O8" s="22">
        <f t="shared" si="1"/>
        <v>3.03426555280074</v>
      </c>
      <c r="Q8" s="20" t="s">
        <v>211</v>
      </c>
      <c r="R8" s="20">
        <f>15*39.37</f>
        <v>590.55</v>
      </c>
      <c r="S8" s="20">
        <f>10*39.37</f>
        <v>393.7</v>
      </c>
      <c r="T8" s="20">
        <f>3*39.37</f>
        <v>118.11</v>
      </c>
      <c r="U8" s="20">
        <f>3*39.37</f>
        <v>118.11</v>
      </c>
      <c r="AI8" s="12" t="s">
        <v>212</v>
      </c>
      <c r="AJ8" s="33"/>
      <c r="AK8" s="33"/>
      <c r="AL8" s="33"/>
      <c r="AM8" s="33" t="s">
        <v>213</v>
      </c>
      <c r="AN8" s="33" t="s">
        <v>213</v>
      </c>
      <c r="AO8"/>
      <c r="AP8" s="12"/>
      <c r="AQ8" s="33"/>
      <c r="AR8" s="33"/>
      <c r="AS8" s="33"/>
      <c r="AT8" s="33"/>
      <c r="AU8" s="33"/>
      <c r="AV8" s="33"/>
      <c r="AW8" s="33"/>
      <c r="AX8" s="33"/>
    </row>
    <row r="9" spans="17:50">
      <c r="Q9" s="20" t="s">
        <v>214</v>
      </c>
      <c r="R9" s="20">
        <f t="shared" ref="R9:U9" si="2">R7*10</f>
        <v>565.25</v>
      </c>
      <c r="S9" s="20">
        <f t="shared" si="2"/>
        <v>743.75</v>
      </c>
      <c r="T9" s="20">
        <f t="shared" si="2"/>
        <v>2040</v>
      </c>
      <c r="U9" s="20">
        <f t="shared" si="2"/>
        <v>2385</v>
      </c>
      <c r="AI9" s="12" t="s">
        <v>215</v>
      </c>
      <c r="AJ9" s="34"/>
      <c r="AK9" s="34"/>
      <c r="AL9" s="34"/>
      <c r="AM9" s="34" t="s">
        <v>216</v>
      </c>
      <c r="AN9" s="34" t="s">
        <v>216</v>
      </c>
      <c r="AO9"/>
      <c r="AP9" s="12"/>
      <c r="AQ9" s="34"/>
      <c r="AR9" s="34"/>
      <c r="AS9" s="34"/>
      <c r="AT9" s="34"/>
      <c r="AU9" s="34"/>
      <c r="AV9" s="34"/>
      <c r="AW9" s="34"/>
      <c r="AX9" s="34"/>
    </row>
    <row r="10" spans="1:45">
      <c r="A10" s="12" t="s">
        <v>217</v>
      </c>
      <c r="B10" s="12"/>
      <c r="C10" s="12" t="s">
        <v>218</v>
      </c>
      <c r="D10" s="12"/>
      <c r="E10" s="12"/>
      <c r="F10" s="12"/>
      <c r="G10" s="12"/>
      <c r="H10" s="12"/>
      <c r="I10" s="12"/>
      <c r="J10" s="12"/>
      <c r="K10" s="12" t="s">
        <v>219</v>
      </c>
      <c r="L10" s="12"/>
      <c r="M10" s="12"/>
      <c r="N10" s="12"/>
      <c r="O10" s="12"/>
      <c r="P10" s="24"/>
      <c r="Q10" s="20" t="s">
        <v>220</v>
      </c>
      <c r="R10" s="20">
        <f>R9*0.1</f>
        <v>56.525</v>
      </c>
      <c r="S10" s="20">
        <f>S9*0.05</f>
        <v>37.1875</v>
      </c>
      <c r="T10" s="20">
        <f>T9*0.01</f>
        <v>20.4</v>
      </c>
      <c r="U10" s="20">
        <f>U9*0.01</f>
        <v>23.85</v>
      </c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ht="13.5" spans="1:16384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pans="17:45">
      <c r="Q12"/>
      <c r="R12"/>
      <c r="S12"/>
      <c r="T12"/>
      <c r="U12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7:45">
      <c r="Q13"/>
      <c r="R13"/>
      <c r="S13"/>
      <c r="T13"/>
      <c r="U13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7:45">
      <c r="Q14"/>
      <c r="R14"/>
      <c r="S14"/>
      <c r="T14"/>
      <c r="U1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7:45">
      <c r="Q15"/>
      <c r="R15"/>
      <c r="S15"/>
      <c r="T15"/>
      <c r="U15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9:45">
      <c r="I16" s="25"/>
      <c r="J16" s="25"/>
      <c r="K16" s="25"/>
      <c r="L16" s="25"/>
      <c r="M16" s="25"/>
      <c r="N16" s="25"/>
      <c r="O16" s="25"/>
      <c r="Q16"/>
      <c r="R16"/>
      <c r="S16"/>
      <c r="T16"/>
      <c r="U16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7:21">
      <c r="Q17"/>
      <c r="R17"/>
      <c r="S17"/>
      <c r="T17"/>
      <c r="U17"/>
    </row>
    <row r="18" spans="17:21">
      <c r="Q18"/>
      <c r="R18"/>
      <c r="S18"/>
      <c r="T18"/>
      <c r="U18"/>
    </row>
    <row r="19" spans="17:21">
      <c r="Q19"/>
      <c r="R19"/>
      <c r="S19"/>
      <c r="T19"/>
      <c r="U19"/>
    </row>
    <row r="20" spans="17:21">
      <c r="Q20"/>
      <c r="R20"/>
      <c r="S20"/>
      <c r="T20"/>
      <c r="U20"/>
    </row>
    <row r="21" spans="17:21">
      <c r="Q21"/>
      <c r="R21"/>
      <c r="S21"/>
      <c r="T21"/>
      <c r="U21"/>
    </row>
    <row r="22" spans="17:21">
      <c r="Q22"/>
      <c r="R22"/>
      <c r="S22"/>
      <c r="T22"/>
      <c r="U22"/>
    </row>
    <row r="23" spans="17:21">
      <c r="Q23"/>
      <c r="R23"/>
      <c r="S23"/>
      <c r="T23"/>
      <c r="U23"/>
    </row>
    <row r="24" spans="17:21">
      <c r="Q24"/>
      <c r="R24"/>
      <c r="S24"/>
      <c r="T24"/>
      <c r="U24"/>
    </row>
    <row r="25" spans="17:21">
      <c r="Q25"/>
      <c r="R25"/>
      <c r="S25"/>
      <c r="T25"/>
      <c r="U25"/>
    </row>
    <row r="26" spans="17:21">
      <c r="Q26"/>
      <c r="R26"/>
      <c r="S26"/>
      <c r="T26"/>
      <c r="U26"/>
    </row>
  </sheetData>
  <mergeCells count="12">
    <mergeCell ref="C3:O3"/>
    <mergeCell ref="Q3:U3"/>
    <mergeCell ref="W3:AG3"/>
    <mergeCell ref="AI3:AN3"/>
    <mergeCell ref="AP3:AX3"/>
    <mergeCell ref="C4:F4"/>
    <mergeCell ref="G4:J4"/>
    <mergeCell ref="K4:O4"/>
    <mergeCell ref="T4:U4"/>
    <mergeCell ref="AJ4:AL4"/>
    <mergeCell ref="C10:J10"/>
    <mergeCell ref="K10:O10"/>
  </mergeCells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zoomScale="85" zoomScaleNormal="85" workbookViewId="0">
      <selection activeCell="A4" sqref="A4"/>
    </sheetView>
  </sheetViews>
  <sheetFormatPr defaultColWidth="9" defaultRowHeight="16.5" outlineLevelRow="5"/>
  <cols>
    <col min="1" max="1" width="13.5" style="2" customWidth="1"/>
    <col min="2" max="3" width="10" style="2" customWidth="1"/>
    <col min="4" max="4" width="12.75" style="2" customWidth="1"/>
    <col min="5" max="5" width="11.625" style="2" customWidth="1"/>
    <col min="6" max="6" width="13.75" style="2" customWidth="1"/>
    <col min="7" max="7" width="15" style="2" customWidth="1"/>
    <col min="8" max="8" width="10.25" style="2" customWidth="1"/>
    <col min="9" max="9" width="12.75" style="2" customWidth="1"/>
    <col min="10" max="10" width="11.25" style="2" customWidth="1"/>
    <col min="11" max="11" width="16.375" style="2" customWidth="1"/>
    <col min="12" max="16384" width="9" style="2"/>
  </cols>
  <sheetData>
    <row r="1" s="1" customFormat="1" ht="15" spans="2:11"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5</v>
      </c>
      <c r="H1" s="1" t="s">
        <v>226</v>
      </c>
      <c r="I1" s="1" t="s">
        <v>227</v>
      </c>
      <c r="J1" s="1" t="s">
        <v>228</v>
      </c>
      <c r="K1" s="1" t="s">
        <v>229</v>
      </c>
    </row>
    <row r="2" spans="1:11">
      <c r="A2" s="2" t="s">
        <v>201</v>
      </c>
      <c r="B2" s="2">
        <v>2.6</v>
      </c>
      <c r="C2" s="2">
        <v>5.3</v>
      </c>
      <c r="D2" s="2">
        <v>4.8</v>
      </c>
      <c r="E2" s="2">
        <v>3.94</v>
      </c>
      <c r="F2" s="2">
        <v>1.2</v>
      </c>
      <c r="G2" s="2">
        <v>8.8</v>
      </c>
      <c r="H2" s="2">
        <v>15</v>
      </c>
      <c r="I2" s="2">
        <v>3.51</v>
      </c>
      <c r="J2" s="2">
        <v>1.1</v>
      </c>
      <c r="K2" s="2">
        <v>4.04</v>
      </c>
    </row>
    <row r="3" spans="1:11">
      <c r="A3" s="2" t="s">
        <v>230</v>
      </c>
      <c r="B3" s="2">
        <v>900</v>
      </c>
      <c r="C3" s="2">
        <v>1100</v>
      </c>
      <c r="D3" s="2">
        <v>810</v>
      </c>
      <c r="E3" s="2">
        <v>1097</v>
      </c>
      <c r="F3" s="2">
        <v>210</v>
      </c>
      <c r="G3" s="2">
        <v>1215</v>
      </c>
      <c r="H3" s="2">
        <v>964</v>
      </c>
      <c r="I3" s="2">
        <v>840</v>
      </c>
      <c r="J3" s="2">
        <v>214</v>
      </c>
      <c r="K3" s="2">
        <v>1097</v>
      </c>
    </row>
    <row r="4" spans="1:11">
      <c r="A4" s="2" t="s">
        <v>231</v>
      </c>
      <c r="B4" s="2">
        <v>400</v>
      </c>
      <c r="C4" s="2">
        <v>400</v>
      </c>
      <c r="D4" s="2">
        <v>700</v>
      </c>
      <c r="E4" s="2">
        <v>200</v>
      </c>
      <c r="F4" s="2">
        <v>400</v>
      </c>
      <c r="G4" s="2">
        <v>650</v>
      </c>
      <c r="H4" s="2">
        <v>600</v>
      </c>
      <c r="I4" s="2">
        <v>950</v>
      </c>
      <c r="J4" s="2">
        <v>400</v>
      </c>
      <c r="K4" s="2">
        <v>200</v>
      </c>
    </row>
    <row r="5" spans="1:11">
      <c r="A5" s="2" t="s">
        <v>232</v>
      </c>
      <c r="B5" s="9">
        <f>607*39.37</f>
        <v>23897.59</v>
      </c>
      <c r="C5" s="9">
        <f>853*39.37</f>
        <v>33582.61</v>
      </c>
      <c r="D5" s="9">
        <f>285*39.37</f>
        <v>11220.45</v>
      </c>
      <c r="E5" s="9">
        <f>854*39.37</f>
        <v>33621.98</v>
      </c>
      <c r="F5" s="9">
        <f>251*39.37</f>
        <v>9881.87</v>
      </c>
      <c r="G5" s="9">
        <f>860*39.37</f>
        <v>33858.2</v>
      </c>
      <c r="H5" s="9">
        <f>850*39.37</f>
        <v>33464.5</v>
      </c>
      <c r="I5" s="9">
        <f>880*39.37</f>
        <v>34645.6</v>
      </c>
      <c r="J5" s="9">
        <f>460*39.37</f>
        <v>18110.2</v>
      </c>
      <c r="K5" s="9">
        <f>854*39.37</f>
        <v>33621.98</v>
      </c>
    </row>
    <row r="6" spans="1:11">
      <c r="A6" s="2" t="s">
        <v>233</v>
      </c>
      <c r="B6" s="2" t="s">
        <v>183</v>
      </c>
      <c r="C6" s="2" t="s">
        <v>178</v>
      </c>
      <c r="D6" s="2" t="s">
        <v>185</v>
      </c>
      <c r="E6" s="2" t="s">
        <v>178</v>
      </c>
      <c r="F6" s="2" t="s">
        <v>185</v>
      </c>
      <c r="G6" s="2" t="s">
        <v>178</v>
      </c>
      <c r="H6" s="2" t="s">
        <v>178</v>
      </c>
      <c r="I6" s="2" t="s">
        <v>234</v>
      </c>
      <c r="J6" s="2" t="s">
        <v>184</v>
      </c>
      <c r="K6" s="2" t="s">
        <v>178</v>
      </c>
    </row>
  </sheetData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6"/>
  <sheetViews>
    <sheetView zoomScale="85" zoomScaleNormal="85" workbookViewId="0">
      <selection activeCell="A4" sqref="A4"/>
    </sheetView>
  </sheetViews>
  <sheetFormatPr defaultColWidth="8.125" defaultRowHeight="13.5" outlineLevelRow="5"/>
  <cols>
    <col min="1" max="1" width="14.75" customWidth="1"/>
    <col min="2" max="2" width="9.375" customWidth="1"/>
    <col min="3" max="4" width="11" customWidth="1"/>
    <col min="5" max="5" width="9.625" customWidth="1"/>
    <col min="6" max="6" width="10.625" customWidth="1"/>
    <col min="7" max="7" width="14.375" customWidth="1"/>
    <col min="8" max="8" width="10.375" customWidth="1"/>
    <col min="9" max="9" width="13.125" customWidth="1"/>
    <col min="10" max="10" width="17.125" customWidth="1"/>
  </cols>
  <sheetData>
    <row r="1" s="11" customFormat="1" ht="15" spans="1:16">
      <c r="A1" s="1"/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  <c r="G1" s="1" t="s">
        <v>240</v>
      </c>
      <c r="H1" s="1" t="s">
        <v>241</v>
      </c>
      <c r="I1" s="1" t="s">
        <v>111</v>
      </c>
      <c r="J1" s="1" t="s">
        <v>242</v>
      </c>
      <c r="K1" s="1"/>
      <c r="L1" s="1"/>
      <c r="M1" s="1"/>
      <c r="N1" s="1"/>
      <c r="O1" s="1"/>
      <c r="P1" s="1"/>
    </row>
    <row r="2" ht="16.5" spans="1:10">
      <c r="A2" s="2" t="s">
        <v>201</v>
      </c>
      <c r="B2" s="2">
        <v>4.1</v>
      </c>
      <c r="C2" s="2">
        <v>3.97</v>
      </c>
      <c r="D2" s="2">
        <v>0.98</v>
      </c>
      <c r="E2" s="2">
        <v>11.6</v>
      </c>
      <c r="F2" s="2">
        <v>5.13</v>
      </c>
      <c r="G2" s="2">
        <v>4.4</v>
      </c>
      <c r="H2" s="2">
        <v>4.95</v>
      </c>
      <c r="I2" s="2">
        <v>1.5</v>
      </c>
      <c r="J2" s="2">
        <v>4.2</v>
      </c>
    </row>
    <row r="3" ht="16.5" spans="1:10">
      <c r="A3" s="2" t="s">
        <v>230</v>
      </c>
      <c r="B3" s="2">
        <v>1110</v>
      </c>
      <c r="C3" s="2">
        <v>833</v>
      </c>
      <c r="D3" s="2">
        <v>216</v>
      </c>
      <c r="E3" s="2">
        <v>1220</v>
      </c>
      <c r="F3" s="2">
        <v>940</v>
      </c>
      <c r="G3" s="2">
        <v>1130</v>
      </c>
      <c r="H3" s="2">
        <v>975</v>
      </c>
      <c r="I3" s="2">
        <v>200</v>
      </c>
      <c r="J3" s="2">
        <v>1110</v>
      </c>
    </row>
    <row r="4" ht="16.5" spans="1:10">
      <c r="A4" s="2" t="s">
        <v>231</v>
      </c>
      <c r="B4" s="2">
        <v>200</v>
      </c>
      <c r="C4" s="2">
        <v>550</v>
      </c>
      <c r="D4" s="2">
        <v>400</v>
      </c>
      <c r="E4" s="2">
        <v>1200</v>
      </c>
      <c r="F4" s="2">
        <v>600</v>
      </c>
      <c r="G4" s="2">
        <v>400</v>
      </c>
      <c r="H4" s="2">
        <v>750</v>
      </c>
      <c r="I4" s="2">
        <v>400</v>
      </c>
      <c r="J4" s="2">
        <v>200</v>
      </c>
    </row>
    <row r="5" ht="16.5" spans="1:10">
      <c r="A5" s="2" t="s">
        <v>232</v>
      </c>
      <c r="B5" s="9">
        <f>760*39.37</f>
        <v>29921.2</v>
      </c>
      <c r="C5" s="9">
        <f>300*39.37</f>
        <v>11811</v>
      </c>
      <c r="D5" s="9">
        <f>365*39.37</f>
        <v>14370.05</v>
      </c>
      <c r="E5" s="9">
        <f>740*39.37</f>
        <v>29133.8</v>
      </c>
      <c r="F5" s="9">
        <f>685*39.37</f>
        <v>26968.45</v>
      </c>
      <c r="G5" s="9">
        <f>776*39.37</f>
        <v>30551.12</v>
      </c>
      <c r="H5" s="9">
        <f>740*39.37</f>
        <v>29133.8</v>
      </c>
      <c r="I5" s="9">
        <f>60*39.37</f>
        <v>2362.2</v>
      </c>
      <c r="J5" s="9">
        <f>760*39.37</f>
        <v>29921.2</v>
      </c>
    </row>
    <row r="6" ht="16.5" spans="1:10">
      <c r="A6" s="2" t="s">
        <v>233</v>
      </c>
      <c r="B6" s="2" t="s">
        <v>177</v>
      </c>
      <c r="C6" s="2" t="s">
        <v>187</v>
      </c>
      <c r="D6" s="2" t="s">
        <v>187</v>
      </c>
      <c r="E6" s="2" t="s">
        <v>177</v>
      </c>
      <c r="F6" s="2" t="s">
        <v>181</v>
      </c>
      <c r="G6" s="2" t="s">
        <v>177</v>
      </c>
      <c r="H6" s="2" t="s">
        <v>177</v>
      </c>
      <c r="I6" s="2" t="s">
        <v>243</v>
      </c>
      <c r="J6" s="2" t="s">
        <v>177</v>
      </c>
    </row>
  </sheetData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zoomScale="85" zoomScaleNormal="85" workbookViewId="0">
      <selection activeCell="A4" sqref="A4"/>
    </sheetView>
  </sheetViews>
  <sheetFormatPr defaultColWidth="8.125" defaultRowHeight="13.5" outlineLevelRow="5"/>
  <cols>
    <col min="1" max="1" width="14.75" customWidth="1"/>
    <col min="2" max="2" width="14.375" customWidth="1"/>
    <col min="3" max="4" width="11" customWidth="1"/>
    <col min="5" max="5" width="9.625" customWidth="1"/>
    <col min="6" max="6" width="10.625" customWidth="1"/>
    <col min="7" max="7" width="12.375" customWidth="1"/>
    <col min="8" max="8" width="14.375" customWidth="1"/>
    <col min="9" max="9" width="13.125" customWidth="1"/>
  </cols>
  <sheetData>
    <row r="1" ht="15" spans="1:9">
      <c r="A1" s="1"/>
      <c r="B1" s="1" t="s">
        <v>244</v>
      </c>
      <c r="C1" s="1" t="s">
        <v>118</v>
      </c>
      <c r="D1" s="1" t="s">
        <v>245</v>
      </c>
      <c r="E1" s="1" t="s">
        <v>246</v>
      </c>
      <c r="F1" s="1" t="s">
        <v>247</v>
      </c>
      <c r="G1" s="1" t="s">
        <v>248</v>
      </c>
      <c r="H1" s="1" t="s">
        <v>249</v>
      </c>
      <c r="I1" s="1" t="s">
        <v>123</v>
      </c>
    </row>
    <row r="2" ht="16.5" spans="1:9">
      <c r="A2" s="2" t="s">
        <v>201</v>
      </c>
      <c r="B2" s="2">
        <v>4</v>
      </c>
      <c r="C2" s="2">
        <v>4.13</v>
      </c>
      <c r="D2" s="2">
        <v>0.85</v>
      </c>
      <c r="E2" s="2">
        <v>11.5</v>
      </c>
      <c r="F2" s="2">
        <v>4</v>
      </c>
      <c r="G2" s="2">
        <v>3.9</v>
      </c>
      <c r="H2" s="2">
        <v>4.1</v>
      </c>
      <c r="I2" s="2">
        <v>20.3</v>
      </c>
    </row>
    <row r="3" ht="16.5" spans="1:9">
      <c r="A3" s="2" t="s">
        <v>230</v>
      </c>
      <c r="B3" s="2">
        <v>1232</v>
      </c>
      <c r="C3" s="2">
        <v>843</v>
      </c>
      <c r="D3" s="2">
        <v>194</v>
      </c>
      <c r="E3" s="2">
        <v>1270</v>
      </c>
      <c r="F3" s="2">
        <v>1226</v>
      </c>
      <c r="G3" s="2">
        <v>880</v>
      </c>
      <c r="H3" s="2">
        <v>1232</v>
      </c>
      <c r="I3" s="2">
        <v>2100</v>
      </c>
    </row>
    <row r="4" ht="16.5" spans="1:9">
      <c r="A4" s="2" t="s">
        <v>231</v>
      </c>
      <c r="B4" s="2">
        <v>200</v>
      </c>
      <c r="C4" s="2">
        <v>1000</v>
      </c>
      <c r="D4" s="2">
        <v>400</v>
      </c>
      <c r="E4" s="2">
        <v>550</v>
      </c>
      <c r="F4" s="2">
        <v>400</v>
      </c>
      <c r="G4" s="2">
        <v>600</v>
      </c>
      <c r="H4" s="2">
        <v>200</v>
      </c>
      <c r="I4" s="2">
        <v>400</v>
      </c>
    </row>
    <row r="5" ht="16.5" spans="1:9">
      <c r="A5" s="2" t="s">
        <v>232</v>
      </c>
      <c r="B5" s="9">
        <f>800*39.37</f>
        <v>31496</v>
      </c>
      <c r="C5" s="9">
        <f>488*39.37</f>
        <v>19212.56</v>
      </c>
      <c r="D5" s="9">
        <f>480*39.37</f>
        <v>18897.6</v>
      </c>
      <c r="E5" s="9">
        <f>840*39.37</f>
        <v>33070.8</v>
      </c>
      <c r="F5" s="9">
        <f>840*39.37</f>
        <v>33070.8</v>
      </c>
      <c r="G5" s="9">
        <f>715*39.37</f>
        <v>28149.55</v>
      </c>
      <c r="H5" s="9">
        <f>800*39.37</f>
        <v>31496</v>
      </c>
      <c r="I5" s="9">
        <f>1013*39.37</f>
        <v>39881.81</v>
      </c>
    </row>
    <row r="6" ht="16.5" spans="1:9">
      <c r="A6" s="2" t="s">
        <v>233</v>
      </c>
      <c r="B6" s="9" t="s">
        <v>179</v>
      </c>
      <c r="C6" s="2" t="s">
        <v>186</v>
      </c>
      <c r="D6" s="2" t="s">
        <v>186</v>
      </c>
      <c r="E6" s="9" t="s">
        <v>179</v>
      </c>
      <c r="F6" s="9" t="s">
        <v>179</v>
      </c>
      <c r="G6" s="9" t="s">
        <v>182</v>
      </c>
      <c r="H6" s="9" t="s">
        <v>179</v>
      </c>
      <c r="I6" s="2" t="s">
        <v>176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新参数（美系）</vt:lpstr>
      <vt:lpstr>新参数（德系）</vt:lpstr>
      <vt:lpstr>新参数（苏系）</vt:lpstr>
      <vt:lpstr>新参数（日系）</vt:lpstr>
      <vt:lpstr>系别对比</vt:lpstr>
      <vt:lpstr>一些设定</vt:lpstr>
      <vt:lpstr>枪械实际规格（美系）</vt:lpstr>
      <vt:lpstr>枪械实际规格（德系）</vt:lpstr>
      <vt:lpstr>枪械实际规格（苏系）</vt:lpstr>
      <vt:lpstr>枪械实际规格（日系）</vt:lpstr>
      <vt:lpstr>旧参数（已放弃）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</dc:creator>
  <cp:lastModifiedBy>iPadHana</cp:lastModifiedBy>
  <dcterms:created xsi:type="dcterms:W3CDTF">2017-01-10T22:08:00Z</dcterms:created>
  <dcterms:modified xsi:type="dcterms:W3CDTF">2017-02-02T09:13:50Z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